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410" windowWidth="15480" windowHeight="8610" tabRatio="695" activeTab="0"/>
  </bookViews>
  <sheets>
    <sheet name="Bieu 10 Von 2016" sheetId="1" r:id="rId1"/>
    <sheet name="Bieu 10a Dan tộc cống" sheetId="2" r:id="rId2"/>
    <sheet name="Bieu 10b Tru so xa" sheetId="3" r:id="rId3"/>
    <sheet name="Bieu 10c XSKT 2016" sheetId="4" r:id="rId4"/>
    <sheet name="5d-DoiUngODA" sheetId="5" r:id="rId5"/>
  </sheets>
  <externalReferences>
    <externalReference r:id="rId8"/>
    <externalReference r:id="rId9"/>
    <externalReference r:id="rId10"/>
    <externalReference r:id="rId11"/>
  </externalReferences>
  <definedNames>
    <definedName name="____a1" localSheetId="3" hidden="1">{"'Sheet1'!$L$16"}</definedName>
    <definedName name="____a1" hidden="1">{"'Sheet1'!$L$16"}</definedName>
    <definedName name="____B1" localSheetId="3" hidden="1">{"'Sheet1'!$L$16"}</definedName>
    <definedName name="____B1" hidden="1">{"'Sheet1'!$L$16"}</definedName>
    <definedName name="____ban2" localSheetId="3" hidden="1">{"'Sheet1'!$L$16"}</definedName>
    <definedName name="____ban2" hidden="1">{"'Sheet1'!$L$16"}</definedName>
    <definedName name="____h1" localSheetId="3" hidden="1">{"'Sheet1'!$L$16"}</definedName>
    <definedName name="____h1" hidden="1">{"'Sheet1'!$L$16"}</definedName>
    <definedName name="____hu1" localSheetId="3" hidden="1">{"'Sheet1'!$L$16"}</definedName>
    <definedName name="____hu1" hidden="1">{"'Sheet1'!$L$16"}</definedName>
    <definedName name="____hu2" localSheetId="3" hidden="1">{"'Sheet1'!$L$16"}</definedName>
    <definedName name="____hu2" hidden="1">{"'Sheet1'!$L$16"}</definedName>
    <definedName name="____hu5" localSheetId="3" hidden="1">{"'Sheet1'!$L$16"}</definedName>
    <definedName name="____hu5" hidden="1">{"'Sheet1'!$L$16"}</definedName>
    <definedName name="____hu6" localSheetId="3" hidden="1">{"'Sheet1'!$L$16"}</definedName>
    <definedName name="____hu6" hidden="1">{"'Sheet1'!$L$16"}</definedName>
    <definedName name="____M36" localSheetId="3" hidden="1">{"'Sheet1'!$L$16"}</definedName>
    <definedName name="____M36" hidden="1">{"'Sheet1'!$L$16"}</definedName>
    <definedName name="____PA3" localSheetId="3" hidden="1">{"'Sheet1'!$L$16"}</definedName>
    <definedName name="____PA3" hidden="1">{"'Sheet1'!$L$16"}</definedName>
    <definedName name="____Pl2" localSheetId="3" hidden="1">{"'Sheet1'!$L$16"}</definedName>
    <definedName name="____Pl2" hidden="1">{"'Sheet1'!$L$16"}</definedName>
    <definedName name="____Tru21" localSheetId="3" hidden="1">{"'Sheet1'!$L$16"}</definedName>
    <definedName name="____Tru21" hidden="1">{"'Sheet1'!$L$16"}</definedName>
    <definedName name="___a1" localSheetId="3" hidden="1">{"'Sheet1'!$L$16"}</definedName>
    <definedName name="___a1" hidden="1">{"'Sheet1'!$L$16"}</definedName>
    <definedName name="___B1" localSheetId="3" hidden="1">{"'Sheet1'!$L$16"}</definedName>
    <definedName name="___B1" hidden="1">{"'Sheet1'!$L$16"}</definedName>
    <definedName name="___ban2" localSheetId="3" hidden="1">{"'Sheet1'!$L$16"}</definedName>
    <definedName name="___ban2" hidden="1">{"'Sheet1'!$L$16"}</definedName>
    <definedName name="___h1" localSheetId="3" hidden="1">{"'Sheet1'!$L$16"}</definedName>
    <definedName name="___h1" hidden="1">{"'Sheet1'!$L$16"}</definedName>
    <definedName name="___hsm2">1.1289</definedName>
    <definedName name="___hu1" localSheetId="3" hidden="1">{"'Sheet1'!$L$16"}</definedName>
    <definedName name="___hu1" hidden="1">{"'Sheet1'!$L$16"}</definedName>
    <definedName name="___hu2" localSheetId="3" hidden="1">{"'Sheet1'!$L$16"}</definedName>
    <definedName name="___hu2" hidden="1">{"'Sheet1'!$L$16"}</definedName>
    <definedName name="___hu5" localSheetId="3" hidden="1">{"'Sheet1'!$L$16"}</definedName>
    <definedName name="___hu5"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M36" localSheetId="3" hidden="1">{"'Sheet1'!$L$16"}</definedName>
    <definedName name="___M36" hidden="1">{"'Sheet1'!$L$16"}</definedName>
    <definedName name="___NSO2" localSheetId="3" hidden="1">{"'Sheet1'!$L$16"}</definedName>
    <definedName name="___NSO2" hidden="1">{"'Sheet1'!$L$16"}</definedName>
    <definedName name="___PA3" localSheetId="3" hidden="1">{"'Sheet1'!$L$16"}</definedName>
    <definedName name="___PA3" hidden="1">{"'Sheet1'!$L$16"}</definedName>
    <definedName name="___Pl2" localSheetId="3" hidden="1">{"'Sheet1'!$L$16"}</definedName>
    <definedName name="___Pl2"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3" hidden="1">{"'Sheet1'!$L$16"}</definedName>
    <definedName name="___Tru21" hidden="1">{"'Sheet1'!$L$16"}</definedName>
    <definedName name="__a1" localSheetId="3" hidden="1">{"'Sheet1'!$L$16"}</definedName>
    <definedName name="__a1" hidden="1">{"'Sheet1'!$L$16"}</definedName>
    <definedName name="__B1" localSheetId="3" hidden="1">{"'Sheet1'!$L$16"}</definedName>
    <definedName name="__B1" hidden="1">{"'Sheet1'!$L$16"}</definedName>
    <definedName name="__ban2" localSheetId="3" hidden="1">{"'Sheet1'!$L$16"}</definedName>
    <definedName name="__ban2" hidden="1">{"'Sheet1'!$L$16"}</definedName>
    <definedName name="__h1" localSheetId="3" hidden="1">{"'Sheet1'!$L$16"}</definedName>
    <definedName name="__h1" hidden="1">{"'Sheet1'!$L$16"}</definedName>
    <definedName name="__hsm2">1.1289</definedName>
    <definedName name="__hu1" localSheetId="3" hidden="1">{"'Sheet1'!$L$16"}</definedName>
    <definedName name="__hu1" hidden="1">{"'Sheet1'!$L$16"}</definedName>
    <definedName name="__hu2" localSheetId="3" hidden="1">{"'Sheet1'!$L$16"}</definedName>
    <definedName name="__hu2" hidden="1">{"'Sheet1'!$L$16"}</definedName>
    <definedName name="__hu5" localSheetId="3" hidden="1">{"'Sheet1'!$L$16"}</definedName>
    <definedName name="__hu5" hidden="1">{"'Sheet1'!$L$16"}</definedName>
    <definedName name="__hu6" localSheetId="3" hidden="1">{"'Sheet1'!$L$16"}</definedName>
    <definedName name="__hu6" hidden="1">{"'Sheet1'!$L$16"}</definedName>
    <definedName name="__isc1">0.035</definedName>
    <definedName name="__isc2">0.02</definedName>
    <definedName name="__isc3">0.054</definedName>
    <definedName name="__M36" localSheetId="3" hidden="1">{"'Sheet1'!$L$16"}</definedName>
    <definedName name="__M36" hidden="1">{"'Sheet1'!$L$16"}</definedName>
    <definedName name="__NSO2" localSheetId="3" hidden="1">{"'Sheet1'!$L$16"}</definedName>
    <definedName name="__NSO2" hidden="1">{"'Sheet1'!$L$16"}</definedName>
    <definedName name="__PA3" localSheetId="3" hidden="1">{"'Sheet1'!$L$16"}</definedName>
    <definedName name="__PA3" hidden="1">{"'Sheet1'!$L$16"}</definedName>
    <definedName name="__Pl2" localSheetId="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3" hidden="1">{"'Sheet1'!$L$16"}</definedName>
    <definedName name="__Tru21" hidden="1">{"'Sheet1'!$L$16"}</definedName>
    <definedName name="_40x4">5100</definedName>
    <definedName name="_a1" localSheetId="3" hidden="1">{"'Sheet1'!$L$16"}</definedName>
    <definedName name="_a1" hidden="1">{"'Sheet1'!$L$16"}</definedName>
    <definedName name="_B1" localSheetId="3" hidden="1">{"'Sheet1'!$L$16"}</definedName>
    <definedName name="_B1" hidden="1">{"'Sheet1'!$L$16"}</definedName>
    <definedName name="_ban2" localSheetId="3" hidden="1">{"'Sheet1'!$L$16"}</definedName>
    <definedName name="_ban2" hidden="1">{"'Sheet1'!$L$16"}</definedName>
    <definedName name="_Fill" localSheetId="3" hidden="1">#REF!</definedName>
    <definedName name="_Fill" hidden="1">#REF!</definedName>
    <definedName name="_h1" localSheetId="3" hidden="1">{"'Sheet1'!$L$16"}</definedName>
    <definedName name="_h1" hidden="1">{"'Sheet1'!$L$16"}</definedName>
    <definedName name="_hsm2">1.1289</definedName>
    <definedName name="_hu1" localSheetId="3" hidden="1">{"'Sheet1'!$L$16"}</definedName>
    <definedName name="_hu1" hidden="1">{"'Sheet1'!$L$16"}</definedName>
    <definedName name="_hu2" localSheetId="3" hidden="1">{"'Sheet1'!$L$16"}</definedName>
    <definedName name="_hu2" hidden="1">{"'Sheet1'!$L$16"}</definedName>
    <definedName name="_hu5" localSheetId="3" hidden="1">{"'Sheet1'!$L$16"}</definedName>
    <definedName name="_hu5" hidden="1">{"'Sheet1'!$L$16"}</definedName>
    <definedName name="_hu6" localSheetId="3" hidden="1">{"'Sheet1'!$L$16"}</definedName>
    <definedName name="_hu6" hidden="1">{"'Sheet1'!$L$16"}</definedName>
    <definedName name="_isc1">0.035</definedName>
    <definedName name="_isc2">0.02</definedName>
    <definedName name="_isc3">0.054</definedName>
    <definedName name="_Key1" localSheetId="3" hidden="1">#REF!</definedName>
    <definedName name="_Key1" hidden="1">#REF!</definedName>
    <definedName name="_Key2" localSheetId="3" hidden="1">#REF!</definedName>
    <definedName name="_Key2" hidden="1">#REF!</definedName>
    <definedName name="_M36" localSheetId="3" hidden="1">{"'Sheet1'!$L$16"}</definedName>
    <definedName name="_M36" hidden="1">{"'Sheet1'!$L$16"}</definedName>
    <definedName name="_NSO2" localSheetId="3" hidden="1">{"'Sheet1'!$L$16"}</definedName>
    <definedName name="_NSO2" hidden="1">{"'Sheet1'!$L$16"}</definedName>
    <definedName name="_Order1" hidden="1">255</definedName>
    <definedName name="_Order2" hidden="1">255</definedName>
    <definedName name="_PA3" localSheetId="3" hidden="1">{"'Sheet1'!$L$16"}</definedName>
    <definedName name="_PA3" hidden="1">{"'Sheet1'!$L$16"}</definedName>
    <definedName name="_Pl2" localSheetId="3" hidden="1">{"'Sheet1'!$L$16"}</definedName>
    <definedName name="_Pl2" hidden="1">{"'Sheet1'!$L$16"}</definedName>
    <definedName name="_PL3" localSheetId="3" hidden="1">#REF!</definedName>
    <definedName name="_PL3" hidden="1">#REF!</definedName>
    <definedName name="_SOC10">0.3456</definedName>
    <definedName name="_SOC8">0.2827</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Tru21" localSheetId="3" hidden="1">{"'Sheet1'!$L$16"}</definedName>
    <definedName name="_Tru21" hidden="1">{"'Sheet1'!$L$16"}</definedName>
    <definedName name="a" localSheetId="3" hidden="1">{"'Sheet1'!$L$16"}</definedName>
    <definedName name="a" hidden="1">{"'Sheet1'!$L$16"}</definedName>
    <definedName name="anscount" hidden="1">3</definedName>
    <definedName name="ATGT" localSheetId="3"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hitietbgiang2" localSheetId="3" hidden="1">{"'Sheet1'!$L$16"}</definedName>
    <definedName name="chitietbgiang2" hidden="1">{"'Sheet1'!$L$16"}</definedName>
    <definedName name="chung">66</definedName>
    <definedName name="CLVC3">0.1</definedName>
    <definedName name="CoCauN" localSheetId="3" hidden="1">{"'Sheet1'!$L$16"}</definedName>
    <definedName name="CoCauN" hidden="1">{"'Sheet1'!$L$16"}</definedName>
    <definedName name="Code" localSheetId="3" hidden="1">#REF!</definedName>
    <definedName name="Code" hidden="1">#REF!</definedName>
    <definedName name="Cotsatma">9726</definedName>
    <definedName name="Cotthepma">9726</definedName>
    <definedName name="CP" localSheetId="3" hidden="1">#REF!</definedName>
    <definedName name="CP" hidden="1">#REF!</definedName>
    <definedName name="CTCT1" localSheetId="3" hidden="1">{"'Sheet1'!$L$16"}</definedName>
    <definedName name="CTCT1" hidden="1">{"'Sheet1'!$L$16"}</definedName>
    <definedName name="dam">78000</definedName>
    <definedName name="data1" localSheetId="3" hidden="1">#REF!</definedName>
    <definedName name="data1" hidden="1">#REF!</definedName>
    <definedName name="data2" localSheetId="3" hidden="1">#REF!</definedName>
    <definedName name="data2" hidden="1">#REF!</definedName>
    <definedName name="data3" localSheetId="3" hidden="1">#REF!</definedName>
    <definedName name="data3" hidden="1">#REF!</definedName>
    <definedName name="DataFilter">[3]!DataFilter</definedName>
    <definedName name="DataSort">[3]!DataSort</definedName>
    <definedName name="DCL_22">12117600</definedName>
    <definedName name="DCL_35">25490000</definedName>
    <definedName name="dddem">0.1</definedName>
    <definedName name="Discount" localSheetId="3" hidden="1">#REF!</definedName>
    <definedName name="Discount" hidden="1">#REF!</definedName>
    <definedName name="display_area_2" localSheetId="3" hidden="1">#REF!</definedName>
    <definedName name="display_area_2" hidden="1">#REF!</definedName>
    <definedName name="docdoc">0.03125</definedName>
    <definedName name="dotcong">1</definedName>
    <definedName name="ds" localSheetId="3" hidden="1">{#N/A,#N/A,FALSE,"Chi ti?t"}</definedName>
    <definedName name="ds" hidden="1">{#N/A,#N/A,FALSE,"Chi ti?t"}</definedName>
    <definedName name="dsh" localSheetId="3" hidden="1">#REF!</definedName>
    <definedName name="dsh" hidden="1">#REF!</definedName>
    <definedName name="E.chandoc">8.875</definedName>
    <definedName name="E.PC">10.438</definedName>
    <definedName name="E.PVI">12</definedName>
    <definedName name="FCode" localSheetId="3" hidden="1">#REF!</definedName>
    <definedName name="FCode" hidden="1">#REF!</definedName>
    <definedName name="FI_12">4820</definedName>
    <definedName name="g" localSheetId="3" hidden="1">{"'Sheet1'!$L$16"}</definedName>
    <definedName name="g" hidden="1">{"'Sheet1'!$L$16"}</definedName>
    <definedName name="GoBack">[3]!GoBack</definedName>
    <definedName name="h" localSheetId="3" hidden="1">{"'Sheet1'!$L$16"}</definedName>
    <definedName name="h" hidden="1">{"'Sheet1'!$L$16"}</definedName>
    <definedName name="Hdao">0.3</definedName>
    <definedName name="Hdap">5.2</definedName>
    <definedName name="Heä_soá_laép_xaø_H">1.7</definedName>
    <definedName name="HiddenRows" localSheetId="3"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3" hidden="1">{"'Sheet1'!$L$16"}</definedName>
    <definedName name="htlm" hidden="1">{"'Sheet1'!$L$16"}</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3" hidden="1">{"'Sheet1'!$L$16"}</definedName>
    <definedName name="hu" hidden="1">{"'Sheet1'!$L$16"}</definedName>
    <definedName name="HUU" localSheetId="3" hidden="1">{"'Sheet1'!$L$16"}</definedName>
    <definedName name="HUU" hidden="1">{"'Sheet1'!$L$16"}</definedName>
    <definedName name="huy" localSheetId="3" hidden="1">{"'Sheet1'!$L$16"}</definedName>
    <definedName name="huy" hidden="1">{"'Sheet1'!$L$16"}</definedName>
    <definedName name="j" localSheetId="3" hidden="1">{"'Sheet1'!$L$16"}</definedName>
    <definedName name="j" hidden="1">{"'Sheet1'!$L$16"}</definedName>
    <definedName name="k" localSheetId="3" hidden="1">{"'Sheet1'!$L$16"}</definedName>
    <definedName name="k" hidden="1">{"'Sheet1'!$L$16"}</definedName>
    <definedName name="khac">2</definedName>
    <definedName name="khongtruotgia" localSheetId="3" hidden="1">{"'Sheet1'!$L$16"}</definedName>
    <definedName name="khongtruotgia" hidden="1">{"'Sheet1'!$L$16"}</definedName>
    <definedName name="ksbn" localSheetId="3" hidden="1">{"'Sheet1'!$L$16"}</definedName>
    <definedName name="ksbn" hidden="1">{"'Sheet1'!$L$16"}</definedName>
    <definedName name="kshn" localSheetId="3" hidden="1">{"'Sheet1'!$L$16"}</definedName>
    <definedName name="kshn" hidden="1">{"'Sheet1'!$L$16"}</definedName>
    <definedName name="ksls" localSheetId="3" hidden="1">{"'Sheet1'!$L$16"}</definedName>
    <definedName name="ksls" hidden="1">{"'Sheet1'!$L$16"}</definedName>
    <definedName name="l" localSheetId="3" hidden="1">{"'Sheet1'!$L$16"}</definedName>
    <definedName name="l" hidden="1">{"'Sheet1'!$L$16"}</definedName>
    <definedName name="L63x6">5800</definedName>
    <definedName name="lan" localSheetId="3" hidden="1">{#N/A,#N/A,TRUE,"BT M200 da 10x20"}</definedName>
    <definedName name="lan" hidden="1">{#N/A,#N/A,TRUE,"BT M200 da 10x20"}</definedName>
    <definedName name="langson" localSheetId="3" hidden="1">{"'Sheet1'!$L$16"}</definedName>
    <definedName name="langson" hidden="1">{"'Sheet1'!$L$16"}</definedName>
    <definedName name="LBS_22">107800000</definedName>
    <definedName name="lk" localSheetId="3" hidden="1">#REF!</definedName>
    <definedName name="lk" hidden="1">#REF!</definedName>
    <definedName name="m" localSheetId="3" hidden="1">{"'Sheet1'!$L$16"}</definedName>
    <definedName name="m" hidden="1">{"'Sheet1'!$L$16"}</definedName>
    <definedName name="mo" localSheetId="3" hidden="1">{"'Sheet1'!$L$16"}</definedName>
    <definedName name="mo" hidden="1">{"'Sheet1'!$L$16"}</definedName>
    <definedName name="moi" localSheetId="3" hidden="1">{"'Sheet1'!$L$16"}</definedName>
    <definedName name="moi" hidden="1">{"'Sheet1'!$L$16"}</definedName>
    <definedName name="n" localSheetId="3" hidden="1">{"'Sheet1'!$L$16"}</definedName>
    <definedName name="n" hidden="1">{"'Sheet1'!$L$16"}</definedName>
    <definedName name="OrderTable" localSheetId="3" hidden="1">#REF!</definedName>
    <definedName name="OrderTable" hidden="1">#REF!</definedName>
    <definedName name="PAIII_" localSheetId="3" hidden="1">{"'Sheet1'!$L$16"}</definedName>
    <definedName name="PAIII_" hidden="1">{"'Sheet1'!$L$16"}</definedName>
    <definedName name="PMS" localSheetId="3" hidden="1">{"'Sheet1'!$L$16"}</definedName>
    <definedName name="PMS" hidden="1">{"'Sheet1'!$L$16"}</definedName>
    <definedName name="_xlnm.Print_Area" localSheetId="4">'5d-DoiUngODA'!$A$1:$Z$74</definedName>
    <definedName name="_xlnm.Print_Area" localSheetId="0">'Bieu 10 Von 2016'!$A$1:$AA$386</definedName>
    <definedName name="_xlnm.Print_Area" localSheetId="1">'Bieu 10a Dan tộc cống'!$A$1:$Z$31</definedName>
    <definedName name="_xlnm.Print_Area" localSheetId="2">'Bieu 10b Tru so xa'!$A$1:$Y$45</definedName>
    <definedName name="_xlnm.Print_Area" localSheetId="3">'Bieu 10c XSKT 2016'!$A$4:$T$27</definedName>
    <definedName name="_xlnm.Print_Titles" localSheetId="4">'5d-DoiUngODA'!$5:$12</definedName>
    <definedName name="_xlnm.Print_Titles" localSheetId="0">'Bieu 10 Von 2016'!$6:$12</definedName>
    <definedName name="_xlnm.Print_Titles" localSheetId="1">'Bieu 10a Dan tộc cống'!$5:$12</definedName>
    <definedName name="_xlnm.Print_Titles" localSheetId="2">'Bieu 10b Tru so xa'!$5:$12</definedName>
    <definedName name="_xlnm.Print_Titles" localSheetId="3">'Bieu 10c XSKT 2016'!$8:$15</definedName>
    <definedName name="ProdForm" localSheetId="3" hidden="1">#REF!</definedName>
    <definedName name="ProdForm" hidden="1">#REF!</definedName>
    <definedName name="Product" localSheetId="3" hidden="1">#REF!</definedName>
    <definedName name="Product" hidden="1">#REF!</definedName>
    <definedName name="rate">14000</definedName>
    <definedName name="RCArea" localSheetId="3" hidden="1">#REF!</definedName>
    <definedName name="RCArea" hidden="1">#REF!</definedName>
    <definedName name="S.dinh">640</definedName>
    <definedName name="Spanner_Auto_File">"C:\My Documents\tinh cdo.x2a"</definedName>
    <definedName name="SpecialPrice" localSheetId="3" hidden="1">#REF!</definedName>
    <definedName name="SpecialPrice" hidden="1">#REF!</definedName>
    <definedName name="t" localSheetId="3" hidden="1">{"'Sheet1'!$L$16"}</definedName>
    <definedName name="t" hidden="1">{"'Sheet1'!$L$16"}</definedName>
    <definedName name="Tang">100</definedName>
    <definedName name="TaxTV">10%</definedName>
    <definedName name="TaxXL">5%</definedName>
    <definedName name="tbl_ProdInfo" localSheetId="3" hidden="1">#REF!</definedName>
    <definedName name="tbl_ProdInfo" hidden="1">#REF!</definedName>
    <definedName name="tha" localSheetId="3" hidden="1">{"'Sheet1'!$L$16"}</definedName>
    <definedName name="tha" hidden="1">{"'Sheet1'!$L$16"}</definedName>
    <definedName name="thepma">10500</definedName>
    <definedName name="thue">6</definedName>
    <definedName name="Tiepdiama">9500</definedName>
    <definedName name="ttttt" localSheetId="3" hidden="1">{"'Sheet1'!$L$16"}</definedName>
    <definedName name="ttttt" hidden="1">{"'Sheet1'!$L$16"}</definedName>
    <definedName name="TTTTTTTTT" localSheetId="3" hidden="1">{"'Sheet1'!$L$16"}</definedName>
    <definedName name="TTTTTTTTT" hidden="1">{"'Sheet1'!$L$16"}</definedName>
    <definedName name="ttttttttttt" localSheetId="3" hidden="1">{"'Sheet1'!$L$16"}</definedName>
    <definedName name="ttttttttttt" hidden="1">{"'Sheet1'!$L$16"}</definedName>
    <definedName name="tuyennhanh" localSheetId="3" hidden="1">{"'Sheet1'!$L$16"}</definedName>
    <definedName name="tuyennhanh" hidden="1">{"'Sheet1'!$L$16"}</definedName>
    <definedName name="u" localSheetId="3" hidden="1">{"'Sheet1'!$L$16"}</definedName>
    <definedName name="u" hidden="1">{"'Sheet1'!$L$16"}</definedName>
    <definedName name="ư" localSheetId="3" hidden="1">{"'Sheet1'!$L$16"}</definedName>
    <definedName name="ư" hidden="1">{"'Sheet1'!$L$16"}</definedName>
    <definedName name="v" localSheetId="3" hidden="1">{"'Sheet1'!$L$16"}</definedName>
    <definedName name="v" hidden="1">{"'Sheet1'!$L$16"}</definedName>
    <definedName name="VAÄT_LIEÄU">"nhandongia"</definedName>
    <definedName name="vcoto" localSheetId="3" hidden="1">{"'Sheet1'!$L$16"}</definedName>
    <definedName name="vcoto" hidden="1">{"'Sheet1'!$L$16"}</definedName>
    <definedName name="Viet" localSheetId="3" hidden="1">{"'Sheet1'!$L$16"}</definedName>
    <definedName name="Viet" hidden="1">{"'Sheet1'!$L$16"}</definedName>
    <definedName name="WIRE1">5</definedName>
    <definedName name="wrn.aaa." localSheetId="3" hidden="1">{#N/A,#N/A,FALSE,"Sheet1";#N/A,#N/A,FALSE,"Sheet1";#N/A,#N/A,FALSE,"Sheet1"}</definedName>
    <definedName name="wrn.aaa." hidden="1">{#N/A,#N/A,FALSE,"Sheet1";#N/A,#N/A,FALSE,"Sheet1";#N/A,#N/A,FALSE,"Sheet1"}</definedName>
    <definedName name="wrn.Bang._.ke._.nhan._.hang." localSheetId="3" hidden="1">{#N/A,#N/A,FALSE,"Ke khai NH"}</definedName>
    <definedName name="wrn.Bang._.ke._.nhan._.hang." hidden="1">{#N/A,#N/A,FALSE,"Ke khai NH"}</definedName>
    <definedName name="wrn.Che._.do._.duoc._.huong." localSheetId="3" hidden="1">{#N/A,#N/A,FALSE,"BN (2)"}</definedName>
    <definedName name="wrn.Che._.do._.duoc._.huong." hidden="1">{#N/A,#N/A,FALSE,"BN (2)"}</definedName>
    <definedName name="wrn.chi._.tiÆt." localSheetId="3" hidden="1">{#N/A,#N/A,FALSE,"Chi ti?t"}</definedName>
    <definedName name="wrn.chi._.tiÆt." hidden="1">{#N/A,#N/A,FALSE,"Chi ti?t"}</definedName>
    <definedName name="wrn.cong." localSheetId="3" hidden="1">{#N/A,#N/A,FALSE,"Sheet1"}</definedName>
    <definedName name="wrn.cong." hidden="1">{#N/A,#N/A,FALSE,"Sheet1"}</definedName>
    <definedName name="wrn.Giáy._.bao._.no." localSheetId="3" hidden="1">{#N/A,#N/A,FALSE,"BN"}</definedName>
    <definedName name="wrn.Giáy._.bao._.no." hidden="1">{#N/A,#N/A,FALSE,"BN"}</definedName>
    <definedName name="wrn.vd." localSheetId="3" hidden="1">{#N/A,#N/A,TRUE,"BT M200 da 10x20"}</definedName>
    <definedName name="wrn.vd." hidden="1">{#N/A,#N/A,TRUE,"BT M200 da 10x20"}</definedName>
    <definedName name="XBCNCKT">5600</definedName>
    <definedName name="XCCT">0.5</definedName>
    <definedName name="xls" localSheetId="3" hidden="1">{"'Sheet1'!$L$16"}</definedName>
    <definedName name="xls" hidden="1">{"'Sheet1'!$L$16"}</definedName>
    <definedName name="xlttbninh" localSheetId="3" hidden="1">{"'Sheet1'!$L$16"}</definedName>
    <definedName name="xlttbninh" hidden="1">{"'Sheet1'!$L$16"}</definedName>
    <definedName name="XTKKTTC">7500</definedName>
  </definedNames>
  <calcPr fullCalcOnLoad="1"/>
</workbook>
</file>

<file path=xl/comments1.xml><?xml version="1.0" encoding="utf-8"?>
<comments xmlns="http://schemas.openxmlformats.org/spreadsheetml/2006/main">
  <authors>
    <author>ThangCN</author>
    <author>VinhThinhCQ42</author>
  </authors>
  <commentList>
    <comment ref="K147" authorId="0">
      <text>
        <r>
          <rPr>
            <b/>
            <sz val="8"/>
            <rFont val="Tahoma"/>
            <family val="2"/>
          </rPr>
          <t>ThangCN:</t>
        </r>
        <r>
          <rPr>
            <sz val="8"/>
            <rFont val="Tahoma"/>
            <family val="2"/>
          </rPr>
          <t xml:space="preserve">
DP 2,5 ty</t>
        </r>
      </text>
    </comment>
    <comment ref="H276" authorId="0">
      <text>
        <r>
          <rPr>
            <b/>
            <sz val="9"/>
            <rFont val="Tahoma"/>
            <family val="2"/>
          </rPr>
          <t>ThangCN:</t>
        </r>
        <r>
          <rPr>
            <sz val="9"/>
            <rFont val="Tahoma"/>
            <family val="2"/>
          </rPr>
          <t xml:space="preserve">
CDNS: 33 tỷ</t>
        </r>
      </text>
    </comment>
    <comment ref="I276" authorId="1">
      <text>
        <r>
          <rPr>
            <b/>
            <sz val="9"/>
            <rFont val="Tahoma"/>
            <family val="2"/>
          </rPr>
          <t>Vốn Trái phiếu</t>
        </r>
        <r>
          <rPr>
            <sz val="9"/>
            <rFont val="Tahoma"/>
            <family val="2"/>
          </rPr>
          <t xml:space="preserve">
</t>
        </r>
      </text>
    </comment>
    <comment ref="G251" authorId="0">
      <text>
        <r>
          <rPr>
            <sz val="9"/>
            <rFont val="Tahoma"/>
            <family val="2"/>
          </rPr>
          <t>1301/QĐ-UBND 20/10/2010;</t>
        </r>
        <r>
          <rPr>
            <sz val="9"/>
            <rFont val="Tahoma"/>
            <family val="2"/>
          </rPr>
          <t xml:space="preserve">
</t>
        </r>
      </text>
    </comment>
    <comment ref="I259" authorId="1">
      <text>
        <r>
          <rPr>
            <sz val="9"/>
            <rFont val="Tahoma"/>
            <family val="2"/>
          </rPr>
          <t xml:space="preserve">
</t>
        </r>
      </text>
    </comment>
    <comment ref="H274" authorId="0">
      <text>
        <r>
          <rPr>
            <b/>
            <sz val="9"/>
            <rFont val="Tahoma"/>
            <family val="2"/>
          </rPr>
          <t>ThangCN:</t>
        </r>
        <r>
          <rPr>
            <sz val="9"/>
            <rFont val="Tahoma"/>
            <family val="2"/>
          </rPr>
          <t xml:space="preserve">
CDNS: 33 tỷ</t>
        </r>
      </text>
    </comment>
    <comment ref="I274" authorId="1">
      <text>
        <r>
          <rPr>
            <b/>
            <sz val="9"/>
            <rFont val="Tahoma"/>
            <family val="2"/>
          </rPr>
          <t>Vốn Trái phiếu</t>
        </r>
        <r>
          <rPr>
            <sz val="9"/>
            <rFont val="Tahoma"/>
            <family val="2"/>
          </rPr>
          <t xml:space="preserve">
</t>
        </r>
      </text>
    </comment>
  </commentList>
</comments>
</file>

<file path=xl/sharedStrings.xml><?xml version="1.0" encoding="utf-8"?>
<sst xmlns="http://schemas.openxmlformats.org/spreadsheetml/2006/main" count="1838" uniqueCount="1000">
  <si>
    <t>Đường QL 279 - Trại 2</t>
  </si>
  <si>
    <t xml:space="preserve"> Đường vào khu du lịch, tưởng niệm tri ân những người có công với đất nước, với dân tộc tỉnh Điện Biên </t>
  </si>
  <si>
    <t xml:space="preserve"> Nâng cấp đường vào điểm du lịch tâm linh Linh Sơn xã Thanh Luông, huyện Điện Biên.</t>
  </si>
  <si>
    <t>2011-2016</t>
  </si>
  <si>
    <t>903/QĐ-UBND 08/09/2011</t>
  </si>
  <si>
    <t>Nâng cấp mở rộng trụ sở Huyện Ủy</t>
  </si>
  <si>
    <t>Tuần Giáo</t>
  </si>
  <si>
    <t>5</t>
  </si>
  <si>
    <t>6</t>
  </si>
  <si>
    <t>7</t>
  </si>
  <si>
    <t>8</t>
  </si>
  <si>
    <t>Trụ sở xã Thanh xương</t>
  </si>
  <si>
    <t>MN</t>
  </si>
  <si>
    <t>Cầu treo bản Mường Nhé, xã Mường Nhé</t>
  </si>
  <si>
    <t xml:space="preserve"> Sân vận động huyện có khán đài</t>
  </si>
  <si>
    <t>Giai đoạn 2016-2020</t>
  </si>
  <si>
    <t>Đầu tư, nâng cấp bổ sung một số hạng mục Trung tâm văn hóa Hội Cựu chiến binh tại Đồi E</t>
  </si>
  <si>
    <t xml:space="preserve">Chỉnh trang, tôn tạo một số hạng mục Tượng đài chiến thắng Điện Biên Phủ </t>
  </si>
  <si>
    <t>Xây dựng Sa Bàn diễn biến chiến dịch Điện Biên Phủ</t>
  </si>
  <si>
    <t>Đường Nậm Ngám- Pu Nhi A,B,C,D xã Pu Nhi đến bản Sư Lư 1,2,3,4,5 xã Na Son</t>
  </si>
  <si>
    <t>Tỉnh Điện Biên</t>
  </si>
  <si>
    <t>11-13</t>
  </si>
  <si>
    <t>13-15</t>
  </si>
  <si>
    <t>Đơn vị: Triệu đồng</t>
  </si>
  <si>
    <t>STT</t>
  </si>
  <si>
    <t>Danh mục dự án</t>
  </si>
  <si>
    <t>Địa điểm XD</t>
  </si>
  <si>
    <t>Năng lực thiết kế</t>
  </si>
  <si>
    <t>Thời gian KC-HT</t>
  </si>
  <si>
    <t>Quyết định đầu tư điều chỉnh</t>
  </si>
  <si>
    <t>Giai đoạn 2011-2015</t>
  </si>
  <si>
    <t>NSĐP</t>
  </si>
  <si>
    <t>Lũy kế số vốn đã bố trí từ khởi công đến hết năm 2014 (*)</t>
  </si>
  <si>
    <t>Lũy kế giải ngân từ khởi công đến hết ngày 31/01/2015</t>
  </si>
  <si>
    <t>Số quyết định; ngày, tháng, năm ban hành</t>
  </si>
  <si>
    <t xml:space="preserve">TMĐT </t>
  </si>
  <si>
    <t>Tổng số</t>
  </si>
  <si>
    <t>Tổng số (tất cả các nguồn vốn)</t>
  </si>
  <si>
    <t>Thanh toán nợ XDCB</t>
  </si>
  <si>
    <t>A</t>
  </si>
  <si>
    <t>*</t>
  </si>
  <si>
    <t>I</t>
  </si>
  <si>
    <t>Huyện Nậm Pồ</t>
  </si>
  <si>
    <t>II</t>
  </si>
  <si>
    <t>III</t>
  </si>
  <si>
    <t>IV</t>
  </si>
  <si>
    <t>Huyện Tủa Chùa</t>
  </si>
  <si>
    <t>V</t>
  </si>
  <si>
    <t>VI</t>
  </si>
  <si>
    <t>VII</t>
  </si>
  <si>
    <t>VIII</t>
  </si>
  <si>
    <t>IX</t>
  </si>
  <si>
    <t>X</t>
  </si>
  <si>
    <t>CBĐT 2%</t>
  </si>
  <si>
    <t>Khoa học và công nghệ</t>
  </si>
  <si>
    <t>Huyện Điện Biên</t>
  </si>
  <si>
    <t>Huyện Mường Nhé</t>
  </si>
  <si>
    <t>Huyện Mường Ảng</t>
  </si>
  <si>
    <t>Thị xã Mường Lay</t>
  </si>
  <si>
    <t xml:space="preserve"> </t>
  </si>
  <si>
    <t>1091/QĐ-UBND 04/1/2011</t>
  </si>
  <si>
    <t>1252/QĐ-UBND 07/10/2010</t>
  </si>
  <si>
    <t>Đường Nà Khoa-Na Cô Sa</t>
  </si>
  <si>
    <t xml:space="preserve"> 504/QĐ-UBND 19/7/2013</t>
  </si>
  <si>
    <t>TC từ nguồn XDCBTT</t>
  </si>
  <si>
    <t xml:space="preserve"> Đường ra biên giới Nà Hỳ - Huổi Sam Lang - Mốc 60</t>
  </si>
  <si>
    <t>ĐB</t>
  </si>
  <si>
    <t xml:space="preserve"> Đường Bản Xôm - B.mới- Mốc C5</t>
  </si>
  <si>
    <t>05-13</t>
  </si>
  <si>
    <t>1492/QĐ-UBND ngày 29/12/2005</t>
  </si>
  <si>
    <t>2333/QĐ-UBND ngày 25/12/2009</t>
  </si>
  <si>
    <t xml:space="preserve"> Đường Noong Luống -  Pa Thơm</t>
  </si>
  <si>
    <t>517/QĐ-UBND 18/5/2007</t>
  </si>
  <si>
    <t>537/QĐ-UBND 6/6/2011</t>
  </si>
  <si>
    <t>Hệ thống đường ống dẫn nước cho khu vực bản phủ, huyện Điện Biên</t>
  </si>
  <si>
    <t>131/QĐ-CT
28/10/2013</t>
  </si>
  <si>
    <t xml:space="preserve"> Trường MN số 2 xã Mường Nhà</t>
  </si>
  <si>
    <t>3287 
15/9/2011</t>
  </si>
  <si>
    <t>TC</t>
  </si>
  <si>
    <t>2012-2013</t>
  </si>
  <si>
    <t>Nghĩa trang C1</t>
  </si>
  <si>
    <t>4390 ngày 14/12/2012</t>
  </si>
  <si>
    <t xml:space="preserve">TC </t>
  </si>
  <si>
    <t>500 GB</t>
  </si>
  <si>
    <t>04-13</t>
  </si>
  <si>
    <t xml:space="preserve">1475/QĐ-UBND 17/12/2004 </t>
  </si>
  <si>
    <t>780/QĐ-UBND 18/8/2011</t>
  </si>
  <si>
    <t>1</t>
  </si>
  <si>
    <t>Chỉnh trang, tôn tạo di tích Khu sở chỉ huy chiến dịch Mường phăng</t>
  </si>
  <si>
    <t>1579/QĐ-SVH
16/12/2013</t>
  </si>
  <si>
    <t>2</t>
  </si>
  <si>
    <t>Chỉnh trang, tôn tạo một số HM thuộc di tích Đường kéo pháo, trận địa pháo 105, trận địa pháo H6</t>
  </si>
  <si>
    <t>1581/QĐ-UBND
16/12/2013</t>
  </si>
  <si>
    <t xml:space="preserve"> Nhà khách huyện Điện Biên</t>
  </si>
  <si>
    <t>2013-2014</t>
  </si>
  <si>
    <t>385 ngày 9/5/2012</t>
  </si>
  <si>
    <t>BVĐK huyện Điện Biên</t>
  </si>
  <si>
    <t>Điện Biên</t>
  </si>
  <si>
    <t>80 GB</t>
  </si>
  <si>
    <t>09-13</t>
  </si>
  <si>
    <t>1591/QĐ-UBND
4/9/2009</t>
  </si>
  <si>
    <t>Đường nội bộ TTCX Mường Toong huyện Mường Nhé</t>
  </si>
  <si>
    <t>1238, ngày 05/10/2010</t>
  </si>
  <si>
    <t>Nhà nội trú, nhà hiệu bộ trường THCS TTCX Mường Toong huyện Mường Nhé</t>
  </si>
  <si>
    <t>1027, ngày 19/8/2010</t>
  </si>
  <si>
    <t>Bãi xử lý rác thải trung tâm huyện lỵ và các xã vùng lân cận huyện Mường Nhé</t>
  </si>
  <si>
    <t xml:space="preserve">456/QĐ-UBND 
19/6/2014 </t>
  </si>
  <si>
    <t>848, ngày 19/9/2012</t>
  </si>
  <si>
    <t>PKĐK khu vực Sáng Nhè, T.Chùa</t>
  </si>
  <si>
    <t xml:space="preserve"> Mở rộng trụ sở UBND huyện Tủa Chùa</t>
  </si>
  <si>
    <t>1812, ngày 30/10/2012</t>
  </si>
  <si>
    <t xml:space="preserve">774/QĐ-UBND 14/10/2014;
</t>
  </si>
  <si>
    <t xml:space="preserve"> Trụ sở HĐND - UBND huyện Tuần Giáo</t>
  </si>
  <si>
    <t>1272, ngày 16/12/2011</t>
  </si>
  <si>
    <t xml:space="preserve"> Trụ sở xã Pú Nhung</t>
  </si>
  <si>
    <t>59A/QĐ-UBND 12/6/2011;
39a,18/6/2013</t>
  </si>
  <si>
    <t xml:space="preserve"> Trụ sở xã Nà Sáy</t>
  </si>
  <si>
    <t>64B/QĐ-UBND 15/7/2011;39b/18/6/2013</t>
  </si>
  <si>
    <t xml:space="preserve"> Thủy lợi Thẩm Phẩng xã Nậm Lịch huyện MA</t>
  </si>
  <si>
    <t>2605, ngày 22/10/12</t>
  </si>
  <si>
    <t xml:space="preserve"> Đường nội thị giai đoạn I Trục 42m huyện Mường Ảng</t>
  </si>
  <si>
    <t>2015-2017</t>
  </si>
  <si>
    <t xml:space="preserve"> Đài TT - TH huyện Mường Ảng</t>
  </si>
  <si>
    <t>338/QĐ-PTTH 13/12/2010</t>
  </si>
  <si>
    <t>Lò đốt rác bằng khí tự nhiên xử lý rác thải sinh hoạt trên địa bàn thị trấn Mường Ảng và các xã lân cận</t>
  </si>
  <si>
    <t xml:space="preserve">1962/QĐ-UBND 
15/10/2014 </t>
  </si>
  <si>
    <t>PKĐK khu vực Búng Lao, M.Ảng</t>
  </si>
  <si>
    <t>1.475m</t>
  </si>
  <si>
    <t>280/QĐ-UBND; 30/3/2011</t>
  </si>
  <si>
    <t xml:space="preserve"> Đường Hừa Ngài - Pa Ham</t>
  </si>
  <si>
    <t>989, ngày 31/10/2012</t>
  </si>
  <si>
    <t>Trụ sở khối đoàn thể huyện Mường Chà</t>
  </si>
  <si>
    <t>1677/QĐ
27/10/2014</t>
  </si>
  <si>
    <t>BVĐK huyện Mường Chà</t>
  </si>
  <si>
    <t>345/QĐ-UBND
18/3/2009</t>
  </si>
  <si>
    <t>667/QĐ-UBND 
2/6/2010</t>
  </si>
  <si>
    <t>PKĐK khu vực Si Pa Phìn, M. Chà</t>
  </si>
  <si>
    <t xml:space="preserve"> Tuyến đường nhánh Hòa Bình - Phường Tân Thanh - TP ĐBP</t>
  </si>
  <si>
    <t>1117, ngày 29/10/2012</t>
  </si>
  <si>
    <t xml:space="preserve"> Đường Nội thị phường Nam Thanh- TP ĐBP </t>
  </si>
  <si>
    <t>831, ngày 18/10/2013</t>
  </si>
  <si>
    <t xml:space="preserve"> Hạ tầng khu du lịch Him Lam GĐ II</t>
  </si>
  <si>
    <t>5,16 km</t>
  </si>
  <si>
    <t>10-16</t>
  </si>
  <si>
    <t>1228/QĐ-UBND 01/10/2010</t>
  </si>
  <si>
    <t>LG vốn CĐNS</t>
  </si>
  <si>
    <t>Cầu dầm BTCT L=33 m bản Ta Pô</t>
  </si>
  <si>
    <t>805, ngày 21/8/2012</t>
  </si>
  <si>
    <t>Trường THPT Lương Thế Vinh</t>
  </si>
  <si>
    <t>853/QĐ-UBND  10/9/2012</t>
  </si>
  <si>
    <t xml:space="preserve"> Sửa chữa trụ sở các Ban Đảng tỉnh</t>
  </si>
  <si>
    <t>07/QĐ-UBKTTU, ngày 29/10/2012</t>
  </si>
  <si>
    <t xml:space="preserve"> Sửa chữa NC trụ sở sở Nội vụ</t>
  </si>
  <si>
    <t>127a, ngày 31/10/2012</t>
  </si>
  <si>
    <t xml:space="preserve"> Cải tạo nâng cấp nhà khách HĐND - UBND tỉnh</t>
  </si>
  <si>
    <t>416/QĐ-CĐKTKT; 24/6/2014</t>
  </si>
  <si>
    <t xml:space="preserve">124, ngày 28/8/2013 </t>
  </si>
  <si>
    <t>Sửa chữa, mở rộng nhà khách Tỉnh ủy</t>
  </si>
  <si>
    <t>Sửa chữa trụ sở Hội chữ thập đỏ</t>
  </si>
  <si>
    <t>06/QĐ-CTĐ
26/8/2014</t>
  </si>
  <si>
    <t>Cải tạo sửa, sửa chữa Trụ sở Tỉnh ủy</t>
  </si>
  <si>
    <t>175-QĐ/VPTU
15/10/2014</t>
  </si>
  <si>
    <t xml:space="preserve"> Trụ sở Ban Nội chính Tỉnh ủy</t>
  </si>
  <si>
    <t>06-22/10/2013</t>
  </si>
  <si>
    <t>Trung hội nghị Văn hóa tỉnh Điện Biên</t>
  </si>
  <si>
    <t>271/QĐ-UBND
8/3/2002</t>
  </si>
  <si>
    <t xml:space="preserve"> Trụ sở xã Thanh Minh</t>
  </si>
  <si>
    <t>1121 ngày 30/10/2012</t>
  </si>
  <si>
    <t xml:space="preserve"> Hỗ trợ đầu tư công trình AD 05</t>
  </si>
  <si>
    <t>174/QĐ-UBND, 24/02/2006
02//QĐ-UBND, 16/02/2011</t>
  </si>
  <si>
    <t>934/ngày
31/10/2014</t>
  </si>
  <si>
    <t>Sửa chữa trụ sở bộ CHQS tỉnh (giai đoạn II)</t>
  </si>
  <si>
    <t>2128, ngày 29/10/2013</t>
  </si>
  <si>
    <t>Nâng cao năng lực Trung tâm Thông tin và Ứng dụng tiến bộ khoa học công nghệ tỉnh Điện Biên</t>
  </si>
  <si>
    <t>833/QĐ-UB
30/10/2014</t>
  </si>
  <si>
    <t>Sửa chữa nhà làm việc 3 tầng Sở Khoa học và Công nghệ tỉnh Điện Biên.</t>
  </si>
  <si>
    <t>422/QĐ-UB
31/10/2014</t>
  </si>
  <si>
    <t>Hệ thống lọc thô đầu nguồn nhà máy nước ĐBP</t>
  </si>
  <si>
    <t>132, ngày 31/10/2013</t>
  </si>
  <si>
    <t>Trụ sở QLTT số 8 MườngẢng</t>
  </si>
  <si>
    <t>Đường Rạng đông -Ta ma</t>
  </si>
  <si>
    <t xml:space="preserve">1322/QĐ-UBND
26/10/2010 </t>
  </si>
  <si>
    <t>470/QĐ-SYT 27/6/2011</t>
  </si>
  <si>
    <t>Kè bảo vệ khu dân cư Tin Tốc, xã Mường Tùng, huyện Mường Chà</t>
  </si>
  <si>
    <t>MA</t>
  </si>
  <si>
    <t>Đường KM30QL279-Ngối Cáy (Kiên cố hóa mặt đường 5,5km)</t>
  </si>
  <si>
    <t xml:space="preserve"> Đường Pá Pao - Mường Luân xã Mường Luân</t>
  </si>
  <si>
    <t>Trường Mầm non Sơn Ca huyện Mường Ảng</t>
  </si>
  <si>
    <t>Trạm y tế TT Mường Ảng</t>
  </si>
  <si>
    <t>Mường Chà</t>
  </si>
  <si>
    <t>Nâng cấp trường Mầm non Sá Tổng, xã Sá Tổng</t>
  </si>
  <si>
    <t xml:space="preserve"> Trại thí nghiệm thực hành trường Cao đẳng Kinh tế kỹ thuật Điện Biên</t>
  </si>
  <si>
    <t>Trụ sở xã Chà Nưa</t>
  </si>
  <si>
    <t>Hạng mục phụ trợ Trường Quân sự tỉnh</t>
  </si>
  <si>
    <t>Trụ sở HĐND-UBND huyện Mường Ẳng</t>
  </si>
  <si>
    <t>Khu trụ sở làm việc tạm phục vụ cho hoạt động của cấp ủy, chính quyền, MTTQ và các đoàn thể của huyện Nậm Pồ</t>
  </si>
  <si>
    <t>234/QĐ-UBND
26/4/2013</t>
  </si>
  <si>
    <t>15-17</t>
  </si>
  <si>
    <t>549,4m; TC đg gom đô thị</t>
  </si>
  <si>
    <t>836/QĐ-UBND 30/10/2014</t>
  </si>
  <si>
    <t>Cải tạo, nâng cấp hệ thống xử lý nước thải Bệnh viện Y học cổ truyền tỉnh</t>
  </si>
  <si>
    <t>Cải tạo, nâng cấp hệ thống xử lý chất thải Bệnh viện đa khoa tỉnh</t>
  </si>
  <si>
    <t>551/QĐ-UBND 28/6/2012</t>
  </si>
  <si>
    <t>Cải tạo, nâng cấp Trung tâm y tế Dự phòng tỉnh Điện Biên</t>
  </si>
  <si>
    <t xml:space="preserve"> 834/QĐ-UBND 30/10/2014</t>
  </si>
  <si>
    <t xml:space="preserve">Bảo tàng chiến thắng Điện Biên Phủ giai đoạn II </t>
  </si>
  <si>
    <t>Đường Keo lôm - Tìa ló</t>
  </si>
  <si>
    <t>8,8km</t>
  </si>
  <si>
    <t>218/QĐ-UBND ngày 4/2/2008</t>
  </si>
  <si>
    <t>343/QĐ-UBND 19/2/2011</t>
  </si>
  <si>
    <t xml:space="preserve">Xã Pú Hồng (đường Phình Giàng - Mường Nhà) </t>
  </si>
  <si>
    <t>37km</t>
  </si>
  <si>
    <t xml:space="preserve"> 09-14</t>
  </si>
  <si>
    <t>1641/QĐ-UBND 22/12/07</t>
  </si>
  <si>
    <t>497/QĐ-UBND ngày 02/7/2014</t>
  </si>
  <si>
    <t>Xã Noong U (đường vào xã Noong U)</t>
  </si>
  <si>
    <t>14km</t>
  </si>
  <si>
    <t>08-13</t>
  </si>
  <si>
    <t>1134/QĐ-UBND 18/8/08</t>
  </si>
  <si>
    <t>967/QĐ-UBND  29/11/2013</t>
  </si>
  <si>
    <t>ĐBĐ</t>
  </si>
  <si>
    <t xml:space="preserve"> Trường THCS Pú Hồng huyện Điện Biên Đông</t>
  </si>
  <si>
    <t>1143/QĐ-UBND ngày 16/11/2011</t>
  </si>
  <si>
    <t xml:space="preserve"> Thủy lợi Huổi Tao B - xã Pú Nhi - ĐBĐ</t>
  </si>
  <si>
    <t>12-14</t>
  </si>
  <si>
    <t>1789/QĐ-UBND 04/10/2012</t>
  </si>
  <si>
    <t xml:space="preserve"> Thủy lợi Pá Pan - T.Ngám xã Noong U </t>
  </si>
  <si>
    <t>20ha</t>
  </si>
  <si>
    <t xml:space="preserve"> 2172, ngày 20/9/2011</t>
  </si>
  <si>
    <t>3</t>
  </si>
  <si>
    <t>Thủy lợi suối Na Nhưng, bản Phà Só B</t>
  </si>
  <si>
    <t>15ha</t>
  </si>
  <si>
    <t>1914, ngày 30/10/2012</t>
  </si>
  <si>
    <t>Bãi xử lý rác thải thị trấn Điện Biên Đông, huyện Điện Biên Đông</t>
  </si>
  <si>
    <t xml:space="preserve">533/QĐ-UBND 
15/7/2014 </t>
  </si>
  <si>
    <t>4</t>
  </si>
  <si>
    <t>2016-2020</t>
  </si>
  <si>
    <t>Nậm Pồ</t>
  </si>
  <si>
    <t>Xã Hua Thanh</t>
  </si>
  <si>
    <t>202/ĐPT
24/9/2014</t>
  </si>
  <si>
    <t xml:space="preserve"> Nhà làm việc BGH Trường Chính trị tỉnh</t>
  </si>
  <si>
    <t>531 m2</t>
  </si>
  <si>
    <t>529/QĐ-TCT
31/10/2012</t>
  </si>
  <si>
    <t>2011-2012</t>
  </si>
  <si>
    <t>417/QĐ-CĐKTKT (16/8/2011)</t>
  </si>
  <si>
    <t>265m2</t>
  </si>
  <si>
    <t>2014-2017</t>
  </si>
  <si>
    <t>CT, SC</t>
  </si>
  <si>
    <t>1582/QĐ-SVH 16/12/2013</t>
  </si>
  <si>
    <t>1583/QĐ-SVH 16/12/2013</t>
  </si>
  <si>
    <t>236/QĐ-SVH 26/02/2014</t>
  </si>
  <si>
    <t>Cải tạo, NC bổ sung một số hạng mục công trình: Cải tạo, sửa chữa nâng cấp Sân vận động tỉnh</t>
  </si>
  <si>
    <t>1580/QĐ-SVH 16/12/2013</t>
  </si>
  <si>
    <t xml:space="preserve"> Chợ thị trấn Mường Nhé</t>
  </si>
  <si>
    <t>2587, ngày 31/10/2012</t>
  </si>
  <si>
    <t>Đường Nậm Din - Khua Trá</t>
  </si>
  <si>
    <t>106/QĐ-UBND
21/2/2013</t>
  </si>
  <si>
    <t>Đường dạo leo núi khu du lịch Pa Khoang</t>
  </si>
  <si>
    <t>301 ngày 06/4/2011</t>
  </si>
  <si>
    <t>709/QĐ-UBND
 (13/9/2013)</t>
  </si>
  <si>
    <t>Trụ sở xã Quài Nưa</t>
  </si>
  <si>
    <t>Trụ sở xã Quài Tở</t>
  </si>
  <si>
    <t>Trụ sở xã Mường Thín</t>
  </si>
  <si>
    <t>Trụ sở xã Búng Lao</t>
  </si>
  <si>
    <t>Trụ sở xã Ảng Nưa</t>
  </si>
  <si>
    <t>2013-2015</t>
  </si>
  <si>
    <t>638, ngày 24/5/2013</t>
  </si>
  <si>
    <t xml:space="preserve"> 12-14</t>
  </si>
  <si>
    <t>1501/QĐ-UBND
15/9/2011</t>
  </si>
  <si>
    <t>Trụ sở xã Nậm Vì</t>
  </si>
  <si>
    <t>Lồng ghép vốn NTM 
6 tỷ</t>
  </si>
  <si>
    <t>Trụ sở xã Sen Thượng</t>
  </si>
  <si>
    <t>Trụ sở xã Pá Mỳ</t>
  </si>
  <si>
    <t xml:space="preserve">Tổng số 
</t>
  </si>
  <si>
    <t xml:space="preserve"> Cải tạo, NC PKĐKKV Nà Hỳ thành cơ sở tạm TTYT và BVĐK huyện Nậm Pồ </t>
  </si>
  <si>
    <t>Trong đó:</t>
  </si>
  <si>
    <t>Trụ sở thị trấn huyện Điện Biên Đông</t>
  </si>
  <si>
    <t>Nâng cấp sửa chữa đường nội thị, thảm bê tông nhựa hạt trung một số trục đường nội thị thị trấn Điện Biên Đông</t>
  </si>
  <si>
    <t xml:space="preserve">Đường vào quần thể hanh động và  Bảo tồn tôn tạo di tích lịch sử Hang động Xá Nhè + Xá Nhè 2 huyện Tủa Chùa đã được xếp hạng cấp Quốc gia </t>
  </si>
  <si>
    <t>Trong đó: Bố trí trả nợ đọng</t>
  </si>
  <si>
    <t xml:space="preserve"> Hội trường Ban chỉ huy quân sự thành phố Điện Biên</t>
  </si>
  <si>
    <t xml:space="preserve"> Hạ tầng giai đoạn II khu đầu mối cửa khẩu Tây Trang:  Chợ và nhà nghỉ cho thuê (Khu tập kết trung chuyển HH-DV)</t>
  </si>
  <si>
    <t xml:space="preserve"> Hạ tầng giai đoạn II khu đầu mối cửa khẩu Tây Trang: San nền, quảng trường, bãi đỗ xe</t>
  </si>
  <si>
    <t>967/QĐ-UBND 22/9/2011</t>
  </si>
  <si>
    <t>Đường ra biên giới Na Cô Sa - Mốc A6</t>
  </si>
  <si>
    <t>1043/QD-UBND, 17/10/2011</t>
  </si>
  <si>
    <t xml:space="preserve"> Khu vui chơi giải trí cho trẻ em huyện Mường Nhé </t>
  </si>
  <si>
    <t>13-14</t>
  </si>
  <si>
    <t>2007A/QĐ-UBND 30/8/2013</t>
  </si>
  <si>
    <t>ĐBP</t>
  </si>
  <si>
    <t xml:space="preserve"> Trường THCS phường Nam Thanh</t>
  </si>
  <si>
    <t>619, ngày 06/7/2011</t>
  </si>
  <si>
    <t xml:space="preserve"> Trường Tiểu học HERMANN và trường Mẫu giáo SOS Điện Biên Phủ</t>
  </si>
  <si>
    <t>1180/QĐ-UBND (29/11/2011)</t>
  </si>
  <si>
    <t xml:space="preserve"> Nhà bếp, nhà ăn trường chính trị Tỉnh</t>
  </si>
  <si>
    <t>275, ngày 22/11/2011</t>
  </si>
  <si>
    <t>Trong đó: NSĐP</t>
  </si>
  <si>
    <t xml:space="preserve"> Đường Tây Trang-Pa Thơm (TT xã Pa Thơm- bản Púng Bon )</t>
  </si>
  <si>
    <t xml:space="preserve"> Hỗ trợ DA Trung tâm chỉ huy CSLV khối an ninh trực thuộc CA tỉnh</t>
  </si>
  <si>
    <t>Trong đó: CĐNSĐP</t>
  </si>
  <si>
    <t>Thu hồi các khoản ứng trước NSĐP</t>
  </si>
  <si>
    <t>Quyết định đầu tư ban đầu</t>
  </si>
  <si>
    <t>Nâng cấp, cải tạo Khu điều trị phong K10 Nậm Din huyện tuần Giáo</t>
  </si>
  <si>
    <t>CT, NC</t>
  </si>
  <si>
    <t>2015-2016</t>
  </si>
  <si>
    <t>Hệ thống nước sinh hoạt cho các hộ bị ảnh hưởng bãi rác noong Bua</t>
  </si>
  <si>
    <t>827/QĐ-UBND (28/10/2014)</t>
  </si>
  <si>
    <t>Tổng nguồn vốn cân đối ngân sách địa phương</t>
  </si>
  <si>
    <t xml:space="preserve">Tổng số </t>
  </si>
  <si>
    <t xml:space="preserve"> Nguồn xổ số kiến thiết</t>
  </si>
  <si>
    <t>TỔNG SỐ</t>
  </si>
  <si>
    <t xml:space="preserve"> Vốn cân đối ngân sách địa phương</t>
  </si>
  <si>
    <t xml:space="preserve">Kế hoạch 2016 </t>
  </si>
  <si>
    <t>A1</t>
  </si>
  <si>
    <t xml:space="preserve"> Tr¶ nî </t>
  </si>
  <si>
    <t xml:space="preserve"> Nợ vay TD ưu đãi của Ngân hàng phát triển</t>
  </si>
  <si>
    <t xml:space="preserve"> Nợ vay dự án năng lượng nông thôn (RE II)</t>
  </si>
  <si>
    <t>Trả phí tạm ứng vốn kho bạc NNTW</t>
  </si>
  <si>
    <t>A2</t>
  </si>
  <si>
    <t>Toàn tỉnh</t>
  </si>
  <si>
    <t>A3</t>
  </si>
  <si>
    <t xml:space="preserve"> Hỗ trợ trụ sở xã</t>
  </si>
  <si>
    <t xml:space="preserve"> Khoa học và công nghệ</t>
  </si>
  <si>
    <t xml:space="preserve"> Quốc phòng - An ninh</t>
  </si>
  <si>
    <t>Vốn thực hiện dự án</t>
  </si>
  <si>
    <t>An ninh quốc phòng 5%</t>
  </si>
  <si>
    <t xml:space="preserve">XI </t>
  </si>
  <si>
    <t xml:space="preserve"> Các ngành Tỉnh - CT Công cộng</t>
  </si>
  <si>
    <t>Kế hoạch năm 2015 (Tổng số tất cả các nguồn vốn)</t>
  </si>
  <si>
    <t>XII</t>
  </si>
  <si>
    <t>XIII</t>
  </si>
  <si>
    <t>Mường Nhé</t>
  </si>
  <si>
    <t>2929/QĐ-UBND
31/12/2014</t>
  </si>
  <si>
    <t>2924/QĐ-UBND
31/12/2014</t>
  </si>
  <si>
    <t>2928/QĐ-UBND
31/12/2014</t>
  </si>
  <si>
    <t>Nhu cầu năm 2016-2020</t>
  </si>
  <si>
    <t>2012-2014</t>
  </si>
  <si>
    <t>Chuẩn bị đầu tư</t>
  </si>
  <si>
    <t>148/QĐ-UBND
29/12/2014</t>
  </si>
  <si>
    <t>149/QĐ-UBND
29/12/2014</t>
  </si>
  <si>
    <t xml:space="preserve"> Đường Quốc lộ 6- Quang Vinh - Pú Nhung Tuần Giáo</t>
  </si>
  <si>
    <t>121/QĐ-UBND 27/10/2011</t>
  </si>
  <si>
    <t>2013-2017</t>
  </si>
  <si>
    <t>150/QĐ-UBND
29/12/2014</t>
  </si>
  <si>
    <t>18,163km</t>
  </si>
  <si>
    <t xml:space="preserve"> Đường Ma Thì Hồ - Chà Tở (Thanh toán đền bù)</t>
  </si>
  <si>
    <t>Đường nội thị huyện Điện Biên (GĐI)</t>
  </si>
  <si>
    <t>2011-2013</t>
  </si>
  <si>
    <t>930/QĐ-UBND
 28/7/2010</t>
  </si>
  <si>
    <t>702/QĐ-UBND 27/7/2011</t>
  </si>
  <si>
    <t>Khởi công mới</t>
  </si>
  <si>
    <t>Trụ sở Ban quản lý dự án huyện</t>
  </si>
  <si>
    <t xml:space="preserve">Thành phố Điện Biên Phủ </t>
  </si>
  <si>
    <t xml:space="preserve"> Dự án ứng dụng công nghệ thông tin trong HĐ các cơ quan Đảng Tỉnh Điện Biên</t>
  </si>
  <si>
    <t xml:space="preserve"> Truờng Mầm non, THCS xã Sín chải (gđ I-gđII)</t>
  </si>
  <si>
    <t xml:space="preserve">Huyện Điện Biên </t>
  </si>
  <si>
    <t>Huyện Tuần Giáo</t>
  </si>
  <si>
    <t xml:space="preserve">Huyện Điện Biên Đông </t>
  </si>
  <si>
    <t>Huyện Điện Biên Đông</t>
  </si>
  <si>
    <t xml:space="preserve">Huyện Mường Chà </t>
  </si>
  <si>
    <t xml:space="preserve">Huyện Nậm Pồ </t>
  </si>
  <si>
    <t xml:space="preserve"> Đường Nà Tấu - Pa Khoang</t>
  </si>
  <si>
    <t>2056/QĐ-UBND 23/11/2009;
462/QĐ-UBND 6/6/2012</t>
  </si>
  <si>
    <t>Ghi chú</t>
  </si>
  <si>
    <t xml:space="preserve">KH 2016 bố trí vốn TT dứt điểm </t>
  </si>
  <si>
    <t>NSNN hỗ trợ 12 tỷ</t>
  </si>
  <si>
    <t>KH 2016 bố trí vốn TT dứt điểm phần NSĐP</t>
  </si>
  <si>
    <t>Lồng ghép vốn NTM3,4 tỷ</t>
  </si>
  <si>
    <t>Lồng ghép vốn NTM3,5 tỷ</t>
  </si>
  <si>
    <t>Lồng ghép vốn NTM3,7 tỷ</t>
  </si>
  <si>
    <t>Lồng ghép vốn NSTW</t>
  </si>
  <si>
    <t>Hỗ trợ trụ sở 18 xã mới chia tách</t>
  </si>
  <si>
    <t>2016-2018</t>
  </si>
  <si>
    <t>Xã Huổi Lếch</t>
  </si>
  <si>
    <t>Xã Nậm Tin</t>
  </si>
  <si>
    <t>Xã Nậm Nhừ</t>
  </si>
  <si>
    <t>Xã Nậm Chua</t>
  </si>
  <si>
    <t>Xã Vàng Đán</t>
  </si>
  <si>
    <t>Xã Huổi Mí</t>
  </si>
  <si>
    <t>Xã Pa Ham</t>
  </si>
  <si>
    <t>Xã Sam Mứn</t>
  </si>
  <si>
    <t>Xã Hẹ Muông</t>
  </si>
  <si>
    <t>Xã Na Tông</t>
  </si>
  <si>
    <t>Xã Mường Lói</t>
  </si>
  <si>
    <t>Xã Pá Khoang</t>
  </si>
  <si>
    <t>Xã Nà Tòng</t>
  </si>
  <si>
    <t>Xã Pú Xi</t>
  </si>
  <si>
    <t>Xã Rạng Đông</t>
  </si>
  <si>
    <t>Xã Chiềng Đông</t>
  </si>
  <si>
    <t>Xã Mường Khong</t>
  </si>
  <si>
    <t xml:space="preserve"> Hỗ trợ trụ sở xã hoàn thành trước 31/12/2015</t>
  </si>
  <si>
    <t>BIỂU CHI TIẾT DANH MỤC TRỤ SỞ XÃ SỬ DỤNG VỐN TỪ NGUỒN THU SỬ DỤNG ĐẤT NĂM 2015 - TỈNH ĐIỆN BIÊN</t>
  </si>
  <si>
    <t>MC</t>
  </si>
  <si>
    <t>NP</t>
  </si>
  <si>
    <t xml:space="preserve"> ĐBP</t>
  </si>
  <si>
    <t>Kế hoạch năm 2015 (Tổng các nguồn vốn)</t>
  </si>
  <si>
    <t>838/QĐ-UBND 30/10/2014</t>
  </si>
  <si>
    <t xml:space="preserve"> Trường mầm non Hoa Ban </t>
  </si>
  <si>
    <t>Dự án Trại sản xuất con giống và chuyển giao kỹ thuật chăn nuôi tỉnh Điện Biên (giai đoạn I)</t>
  </si>
  <si>
    <t xml:space="preserve"> 11-13</t>
  </si>
  <si>
    <t>Bố trí hoàn thành dự án</t>
  </si>
  <si>
    <t>863/QĐ-UBND ngày 11/11/2014</t>
  </si>
  <si>
    <t>Nhà vệ sinh các trường thuộc huyện Mường Nhé năm 2012</t>
  </si>
  <si>
    <t>1259/QĐ-SGDĐT; 28/10/2011</t>
  </si>
  <si>
    <t>CT QT còn thiếu vốn</t>
  </si>
  <si>
    <t>Các hạng mục phụ trợ thuộc dự án hạ tầng GĐ2 khu đầu mối CK Tây Trang</t>
  </si>
  <si>
    <t>683/QĐ-UBND ngày 11/9/2014</t>
  </si>
  <si>
    <t>Dự phòng 15%</t>
  </si>
  <si>
    <t>Các ngành tỉnh 20%</t>
  </si>
  <si>
    <t>Sửa chữa, nâng cấp nhà khách UBND huyện Tủa Chùa</t>
  </si>
  <si>
    <t>Lồng ghép vốn NTM 6 tỷ</t>
  </si>
  <si>
    <t>Đường dân sinh Vàng Đán Dạo - Huổi Dạo xã Vàng Đán</t>
  </si>
  <si>
    <t>Các huyện, thị xã, thành phố</t>
  </si>
  <si>
    <t>8ph+hiệu bộ</t>
  </si>
  <si>
    <t>Mường Ảng</t>
  </si>
  <si>
    <t xml:space="preserve"> Trường Mầm non Ảng Nưa, xã Ảng Nưa, huyện Mường Ảng</t>
  </si>
  <si>
    <t xml:space="preserve"> Trường Mầm non 20/7</t>
  </si>
  <si>
    <t>178A/QĐ-UBND
30/10/2012</t>
  </si>
  <si>
    <t xml:space="preserve"> Truờng Mầm non xã Mường Thín, huyện T.Giáo</t>
  </si>
  <si>
    <t xml:space="preserve"> Công trình khởi công mới</t>
  </si>
  <si>
    <t>II.2</t>
  </si>
  <si>
    <t xml:space="preserve"> Trường mầm non, THCS tại xã Phình Sáng, huyện Tuần Giáo (LG vốn 293, NQ 37, XDCBTT). </t>
  </si>
  <si>
    <t xml:space="preserve"> Công trình tiếp chi</t>
  </si>
  <si>
    <t>II.1</t>
  </si>
  <si>
    <t xml:space="preserve"> Lĩnh vực giáo dục</t>
  </si>
  <si>
    <t>18-20</t>
  </si>
  <si>
    <t>ĐBĐông</t>
  </si>
  <si>
    <t xml:space="preserve"> Trạm y tế Tìa Dình</t>
  </si>
  <si>
    <t xml:space="preserve"> Trạm y tế Phình Giàng </t>
  </si>
  <si>
    <t xml:space="preserve"> Trạm y tế Mường Luân </t>
  </si>
  <si>
    <t>M.Nhé</t>
  </si>
  <si>
    <t xml:space="preserve"> Trạm y tế Na Co Sa</t>
  </si>
  <si>
    <t xml:space="preserve"> Trạm y tế Háng Lìa </t>
  </si>
  <si>
    <t>17-18</t>
  </si>
  <si>
    <t xml:space="preserve"> Trạm y tế Chiềng Sơ </t>
  </si>
  <si>
    <t xml:space="preserve"> Trạm y tế Pá Mì </t>
  </si>
  <si>
    <t xml:space="preserve"> Trạm y tế Nậm Vì </t>
  </si>
  <si>
    <t>2014-2016</t>
  </si>
  <si>
    <r>
      <t xml:space="preserve">1902/QĐ-UBND 27/10/2009; </t>
    </r>
    <r>
      <rPr>
        <sz val="12"/>
        <rFont val="Times New Roman"/>
        <family val="1"/>
      </rPr>
      <t>1107/QĐ-UB 31/12/2014</t>
    </r>
  </si>
  <si>
    <t>10-15</t>
  </si>
  <si>
    <t>1820 m2</t>
  </si>
  <si>
    <t>TP ĐBP</t>
  </si>
  <si>
    <r>
      <t xml:space="preserve"> Bệnh viện YHCT giai đoạn II </t>
    </r>
    <r>
      <rPr>
        <i/>
        <sz val="14"/>
        <rFont val="Times New Roman"/>
        <family val="1"/>
      </rPr>
      <t>(LG vốn NSTW:</t>
    </r>
    <r>
      <rPr>
        <i/>
        <sz val="14"/>
        <rFont val="Times New Roman"/>
        <family val="1"/>
      </rPr>
      <t xml:space="preserve">25,140 </t>
    </r>
    <r>
      <rPr>
        <i/>
        <sz val="14"/>
        <rFont val="Times New Roman"/>
        <family val="1"/>
      </rPr>
      <t>tỷ đồng)</t>
    </r>
  </si>
  <si>
    <r>
      <t xml:space="preserve">640/QĐ-UBND 26/05/2010; 550/QĐ-UBND </t>
    </r>
    <r>
      <rPr>
        <sz val="12"/>
        <rFont val="Times New Roman"/>
        <family val="1"/>
      </rPr>
      <t>22/07/2014</t>
    </r>
  </si>
  <si>
    <t>10-14</t>
  </si>
  <si>
    <t>980 m2</t>
  </si>
  <si>
    <r>
      <t xml:space="preserve"> Phòng khám BVSK cán bộ tỉnh </t>
    </r>
    <r>
      <rPr>
        <i/>
        <sz val="14"/>
        <rFont val="Times New Roman"/>
        <family val="1"/>
      </rPr>
      <t>(LG vốn NSTW: 13,000 tỷ đồng)</t>
    </r>
  </si>
  <si>
    <t>649/QĐ-SYT 
04/10/2013</t>
  </si>
  <si>
    <t>16-17</t>
  </si>
  <si>
    <t xml:space="preserve"> Trạm y tế Phường Nam Thanh </t>
  </si>
  <si>
    <t>648/QĐ-SYT 
04/10/2013</t>
  </si>
  <si>
    <t xml:space="preserve"> Trạm y tế xã Thanh Minh</t>
  </si>
  <si>
    <t>564/QĐ-SYT 
30/7/2014</t>
  </si>
  <si>
    <t>14-16</t>
  </si>
  <si>
    <t>216 m2</t>
  </si>
  <si>
    <t xml:space="preserve"> Trạm y tế xã Tà Lèng</t>
  </si>
  <si>
    <t>563/QĐ-SYT 
30/7/2014</t>
  </si>
  <si>
    <t xml:space="preserve"> Trạm y tế Phường Thanh Trường</t>
  </si>
  <si>
    <t>646/QĐ-SYT 
04/10/2014</t>
  </si>
  <si>
    <t xml:space="preserve"> Trạm Y tế Phường Thanh Bình</t>
  </si>
  <si>
    <t>Trong đó: vốn xổ số kiến thiết</t>
  </si>
  <si>
    <t>Dự kiến kế hoạch năm 2016</t>
  </si>
  <si>
    <t>Dự kiến kế hoạch 5 năm 2016-2020</t>
  </si>
  <si>
    <t>Nhu cầu đầu tư 5 năm 2016-2020</t>
  </si>
  <si>
    <t>Kế hoạch năm 2015</t>
  </si>
  <si>
    <r>
      <t xml:space="preserve">Lũy kế số vốn đã bố trí từ khởi công đến hết năm 2014 </t>
    </r>
    <r>
      <rPr>
        <vertAlign val="superscript"/>
        <sz val="14"/>
        <rFont val="Times New Roman"/>
        <family val="1"/>
      </rPr>
      <t>(*)</t>
    </r>
  </si>
  <si>
    <t>Quyết định đầu tư</t>
  </si>
  <si>
    <t>Số
TT</t>
  </si>
  <si>
    <t>TÌNH HÌNH THỰC HIỆN CÁC DỰ ÁN ĐẦU TƯ TỪ NGUỒN XỔ SỐ KIẾN THIẾT 5 NĂM 2011-2015; DỰ KIẾN KẾ HOẠCH 5 NĂM 2016-2020 VÀ NĂM 2016</t>
  </si>
  <si>
    <t>Biểu mẫu số 17</t>
  </si>
  <si>
    <t>Biểu chi tiết kèm theo</t>
  </si>
  <si>
    <t>Đường vào bản Nậm Kè, xã Nậm Kè huyện Mường Nhé</t>
  </si>
  <si>
    <t>Số vốn dự phòng Bố trí trả nợ cho các dự án các ngành 64 tỷ 898 trđ; hỗ trợ cho TXML để dự án đủ điều kiện khởi công mới 4,408 tỷ đ</t>
  </si>
  <si>
    <t>Trả nợ tạm ứng Chương trình xây dựng NTM xã Thanh Chăn</t>
  </si>
  <si>
    <t>Hoàn ứng theo CV 881/UBND-NN ngày 20/6/2011 của UBND tỉnh 8,645 tỷ đồng</t>
  </si>
  <si>
    <t>Hoàn ứng theo CV 881/UBND-NN 20/6/2011 của UBND tỉnh 8,645 tỷ đồng</t>
  </si>
  <si>
    <t>1397/QĐ-UBND
26/10/2010; 375/QĐ 23/5/2014</t>
  </si>
  <si>
    <t>1344/QĐ-UBND
26/10/2010; 377/QĐ 23/5/2014</t>
  </si>
  <si>
    <t>Nâng cấp đường giao thông QL 12 - bản Huổi Meo</t>
  </si>
  <si>
    <t>Đường từ xã Pú Xi – bản Hát Lấu, xã Pú Xi, huyện Tuần Giáo</t>
  </si>
  <si>
    <t>Nhà lớp học năng khiếu + cải tạo, sửa chữa Nhà thiếu nhi tỉnh Điện Biên</t>
  </si>
  <si>
    <t>Giải phóng mặt bằng CSII Trường CĐKTKT Điện Biên</t>
  </si>
  <si>
    <t xml:space="preserve"> Trụ sở  xã Tỏa Tình huyện Tuần Giáo</t>
  </si>
  <si>
    <t>Thủy lợi tổ dân phố 9, phường Thanh Trường</t>
  </si>
  <si>
    <t>Khu tái định cư Him Lam thành phố Điện Biên Phủ</t>
  </si>
  <si>
    <t>An ninh quốc phòng</t>
  </si>
  <si>
    <t>Khoa học công nghệ - Môi trường</t>
  </si>
  <si>
    <t>Sửa chữa đường Mường Khong- Bản Huổi Nôm</t>
  </si>
  <si>
    <t>DA cấp nước tự chảy cho NMN Huyện Tuần Giáo</t>
  </si>
  <si>
    <t>Trường tiểu học Khén Pí xã Xuân Lao</t>
  </si>
  <si>
    <t>Dự kiến khởi công mới 2017</t>
  </si>
  <si>
    <t>Chênh lệch tăng so với nhu cầu</t>
  </si>
  <si>
    <t>Các ngành</t>
  </si>
  <si>
    <t>Nhu cầu chuyển tiếp năm 2017</t>
  </si>
  <si>
    <t>Tổng nhu cầu 2017 (tiếp chi +KCM)</t>
  </si>
  <si>
    <t>Dự kiến tổng nguồn 2017</t>
  </si>
  <si>
    <t xml:space="preserve"> UBND TP  Điện Biên Phủ</t>
  </si>
  <si>
    <t xml:space="preserve"> Thủy lợi Chế Nhù xã Si Pa Phìn, M.Chà</t>
  </si>
  <si>
    <t>2115, ngày 16/11/2011</t>
  </si>
  <si>
    <t>Bô trí dứt điểm</t>
  </si>
  <si>
    <t xml:space="preserve"> Hỗ trợ dân tộc đặc biệt khó khăn (Dân tộc Cống) tỉnh ĐB (QĐ 1672/QĐ-TTg)</t>
  </si>
  <si>
    <t>A4</t>
  </si>
  <si>
    <t>A5</t>
  </si>
  <si>
    <t>BIỂU CHI TIẾT DANH MỤC DỰ ÁN HỖ TRỢ DÂN TỘC ĐẠC BIỆT KHÓA KHĂN (DÂN TỘC CỐNG) TỈNH ĐIỆN BIÊN THEO QUYẾT ĐỊNH 1672/QĐ-TTg</t>
  </si>
  <si>
    <t>686/QĐ-UBND
 12/10/2012</t>
  </si>
  <si>
    <t>739/QĐ-UBND
 28/12/2012</t>
  </si>
  <si>
    <t>Cầu treo Huổi Hâu xã Nà Khoa, huyện Nậm Pồ</t>
  </si>
  <si>
    <t xml:space="preserve"> 347/QĐ-UBND 5/12/2013</t>
  </si>
  <si>
    <t>Trụ sở xã Phì Nhừ</t>
  </si>
  <si>
    <t>Trụ sở xã Háng Lìa</t>
  </si>
  <si>
    <t>Trung tâm Hội Nghị huyện ĐB</t>
  </si>
  <si>
    <t>802/QĐ-UBND
22/10/2014</t>
  </si>
  <si>
    <t xml:space="preserve"> Dự án cấp điện nông thôn từ lưới điện quốc gia tỉnh Điện Biên giai đoạn 2014- 2020 </t>
  </si>
  <si>
    <t>2015-2020</t>
  </si>
  <si>
    <t>Đường giao thông giai đoạn II vào bản Lả Chà</t>
  </si>
  <si>
    <t>Cầu treo bản Púng Bon xã Pa Thơm huyện Điện Biên</t>
  </si>
  <si>
    <t>Đường giao thông Pa Thơm - Huổi Moi giai đoạn II</t>
  </si>
  <si>
    <t>Thủy lợi bản Ka Dí Nhè, xã Huổi Lèng</t>
  </si>
  <si>
    <t>Cải tạo, sửa chữa trụ sở làm việc Đoàn Nghệ Thuật tỉnh Điện Biên</t>
  </si>
  <si>
    <t>15/11/2010 - 15/5/2011</t>
  </si>
  <si>
    <t>CT Quyết toán còn thiếu vốn</t>
  </si>
  <si>
    <t>Chợ cửa khẩu  A pa Chải</t>
  </si>
  <si>
    <t>Xây dựng cảng bến cảng Đồi Cao, Mường Lay</t>
  </si>
  <si>
    <t>TX
ML</t>
  </si>
  <si>
    <t>Trụ sở xã Leng Su Sìn</t>
  </si>
  <si>
    <t>Trụ sở xã Nâm Kè</t>
  </si>
  <si>
    <t>Trụ sở xã Sính Phình</t>
  </si>
  <si>
    <t>Trụ sở xã mường Đun</t>
  </si>
  <si>
    <t>Trụ sở xã chiềng sinh huyện Tuần Giáo</t>
  </si>
  <si>
    <t>PKĐKKV Leng Su Sìn (Thành lập mới)</t>
  </si>
  <si>
    <t>Kế hoạch năm 2015 (tất cả các nguồn vốn)</t>
  </si>
  <si>
    <t>Thủy Lợi Bản Hán, xã Mường Đun</t>
  </si>
  <si>
    <t>1496/QĐ-UBND 17/10/2008;
1640/QĐ-UBND, 11/9/2009</t>
  </si>
  <si>
    <t>Xây dựng CSHT công nghệ thông tin tỉnh Điện Biên</t>
  </si>
  <si>
    <t>Các Sở, ngành</t>
  </si>
  <si>
    <t>2005-2006</t>
  </si>
  <si>
    <t>1348/QĐ-UBND ngày 18/11/2004</t>
  </si>
  <si>
    <t>Dự án đã quyết toán còn thiếu vốn</t>
  </si>
  <si>
    <t>Đường Cu Dỉ Sang (xã Tả Phìn) - Lầu Câu Phình (xã Lao Xả Phình), huyện Tủa Chùa</t>
  </si>
  <si>
    <t>Đường Ngã Ba - Huổi Pinh xã Mường Toong, huyện Mường Nhé</t>
  </si>
  <si>
    <t>Trụ sở Huyện ủy và Khối đoàn thể huyện Mường Ảng</t>
  </si>
  <si>
    <t>11-14</t>
  </si>
  <si>
    <t>1251/QĐ-UB
07/10/2010</t>
  </si>
  <si>
    <t>Lưới điện Mường Lạn</t>
  </si>
  <si>
    <t>1057/QĐ-UB
20/10/2008</t>
  </si>
  <si>
    <t>Quyết toán còn thiếu vốn</t>
  </si>
  <si>
    <t>Bố trí dứt điểm nguồn vốn XDCBTT</t>
  </si>
  <si>
    <t>Các hạng mục phụ trợ trụ sở xã Mường Luân, Luân Giói, Chiềng Sơ, Háng Lìa, Phì Nhừ huyện Điện Biên đông</t>
  </si>
  <si>
    <t>325a ngày 20/02/2012</t>
  </si>
  <si>
    <t>897 ngay 20/10/2014</t>
  </si>
  <si>
    <r>
      <rPr>
        <sz val="10"/>
        <color indexed="10"/>
        <rFont val="Times New Roman"/>
        <family val="1"/>
      </rPr>
      <t xml:space="preserve">Khả năng cân đối </t>
    </r>
    <r>
      <rPr>
        <sz val="10"/>
        <rFont val="Times New Roman"/>
        <family val="1"/>
      </rPr>
      <t>2016-2020</t>
    </r>
  </si>
  <si>
    <t>TP</t>
  </si>
  <si>
    <t>Cải tạo, sửa chữa Trụ sở UBND tỉnh</t>
  </si>
  <si>
    <t xml:space="preserve"> Đập, kè công viên ven sông Nậm Rốm</t>
  </si>
  <si>
    <t>2065/QĐ-UBND, ngày 28/12/2008</t>
  </si>
  <si>
    <t xml:space="preserve"> Thủy lợi bản Ta Cơn xã Chiềng Sinh huyện TG</t>
  </si>
  <si>
    <t xml:space="preserve"> 12-13</t>
  </si>
  <si>
    <t>25 ha</t>
  </si>
  <si>
    <t>189,ngày 19/8/2011</t>
  </si>
  <si>
    <t>HT 2013</t>
  </si>
  <si>
    <t>Năm 2015 chuyển bố trí chương trình 293</t>
  </si>
  <si>
    <t>Trụ sở xã Mường Luân</t>
  </si>
  <si>
    <t>2829/QĐ-UBND
04/11/2014</t>
  </si>
  <si>
    <t>Trụ sở xã Luân Giói</t>
  </si>
  <si>
    <t>Trụ sở xã Chiềng Sơ</t>
  </si>
  <si>
    <t>2831/QĐ-UBND
04/11/2014</t>
  </si>
  <si>
    <t>2830/QĐ-UBND
04/11/2014</t>
  </si>
  <si>
    <t>Lồng ghép vốn NTM</t>
  </si>
  <si>
    <t>Nhà lớp học trường THCS thị Trấn ĐBĐ</t>
  </si>
  <si>
    <t>Trường Mầm non 20/7</t>
  </si>
  <si>
    <t>PKĐKKV Mường Nhà</t>
  </si>
  <si>
    <t>Trụ sở liên cơ trạm bảo vệ thực vật, trạm thú y, hạt kiểm lâm huyện Mường Ảng</t>
  </si>
  <si>
    <t>Trường Mầm non Ảng Nưa, xã Ảng Nưa, huyện Mường Ảng</t>
  </si>
  <si>
    <t xml:space="preserve">Trường dân tộc nội trú THCS Sín Thầu </t>
  </si>
  <si>
    <t>Trường Tiểu học Huổi Mí xã Huổi Mí</t>
  </si>
  <si>
    <t>Đường giao thông nội thị khu A thị trấn Mường Chà</t>
  </si>
  <si>
    <t>Trường Mầm non Pa Ham xã Pa Ham</t>
  </si>
  <si>
    <t xml:space="preserve"> Đường bê tông TT xã Huổi Mí - Bản Lùng Thàng, xã Huổi Mí</t>
  </si>
  <si>
    <t>Văn phòng đăng ký chuyển quyền sử dụng đất - trung tâm phát triển quỹ đất - Chi cục bảo vệ môi trường</t>
  </si>
  <si>
    <t>Công trình quyết toán còn thiếu vốn</t>
  </si>
  <si>
    <t>Cải tạo mặt ruộng, KCH kênh nội đồng - kè bảo vệ diện tích đất bị xói lở bồi lấp do mưa lũ bản ten,bản chăn xã Quài Nưa</t>
  </si>
  <si>
    <t>Đường Nà Sáy - Mường Thín- Mường Mùn huyện Tuần Giáo</t>
  </si>
  <si>
    <t>CT quyết toán còn thiếu vốn</t>
  </si>
  <si>
    <t>Xây dựng cơ sở vật chất thuộc dự án hỗ trợ phát triển giáo dục cho các dân tộc thiểu số tỉnh Lai Châu (nay là tỉnh Điện Biên)</t>
  </si>
  <si>
    <t>Nhà lớp học các trường mầm non Nà Sáy và Ta Ma huyện Tuần Giáo tỉnh Điện Biên</t>
  </si>
  <si>
    <t>Trạm y tế xã Sín Thầu huyện Mường Nhé</t>
  </si>
  <si>
    <t>Cấp nước sinh hoạt bản A Pa Chải xã Sín Thầu huyện Mường Nhé tỉnh Điện Biên</t>
  </si>
  <si>
    <t>Kênh thủy lợi Nà Khoa xã Nà Khoa huyệnMường Nhé</t>
  </si>
  <si>
    <t>Cải tạo, sửa chữa nhà ký túc xá, nhà làm việc và nhà lớp học trường cao đẳng sư phạm tỉnh Điện Biên</t>
  </si>
  <si>
    <t>Nhà công vụ, nhà ở nội trú các trường: THCS Mường Lói, Tìa Dình, Ngối Cáy, Mường Nhé thuộc 4 huyện: Điện Biên, Điện Biên Đông, Mường Ảng, Mường Nhé</t>
  </si>
  <si>
    <t>Sửa chữa NSH thôn 2 xã Sính Phình huyện Tủa Chùa tỉnh Điện Biên</t>
  </si>
  <si>
    <t>Nhà ở tập thể cán bộ xã Sín Thầu huyện Mường Nhé tỉnh Điện Biên</t>
  </si>
  <si>
    <t>Nâng cấp kênh thủy nông Huổi Po xã Mường Toong huyện Mường Nhé</t>
  </si>
  <si>
    <t>Nhà nội trú trường THCS trung tâm cụm xã Nà Hỳ huyện Mường Nhé</t>
  </si>
  <si>
    <t>San ủi mặt bằng khu dân cư trung tâm huyện lỵ huyện mường nhé (giai đoạn I)</t>
  </si>
  <si>
    <t>Trụ sở xã Pa Tần huyện Mường Nhé  (nay là huyện Nậm Pồ)</t>
  </si>
  <si>
    <t>Sửa chữa cống, cầu kè tuyến đường Nà hỳ - Nà Khoa huyện Mường Nhé  (nay là huyện Nậm Pồ)</t>
  </si>
  <si>
    <t>NSH bản Tả Co Khừ xã Sín Thầu huyện Mường Nhé</t>
  </si>
  <si>
    <t>Thủy nông Tá Miếu xã Sín Thầu huyện Mường Nhé tỉnh Điện Biên</t>
  </si>
  <si>
    <t>San ủi mặt bằng khu TĐC (cụm IV) và khu trụ sở làm việc, trung tâm hội nghị thuộc khu trung tâm thị trấn huyện lỵ, huyện Điện Biên</t>
  </si>
  <si>
    <t>NSH Lỳ Mà Tá xã Sín Thầu huyện Mường Nhé tỉnh Điện Biên</t>
  </si>
  <si>
    <t>Thủy lợi Pá Ma xã Sín Thầu huyện Mường Nhé</t>
  </si>
  <si>
    <t xml:space="preserve">Bảo tàng dân tộc và nhà trưng bày tạm của Bảo tàng chiến thắng Điện Biên Phủ </t>
  </si>
  <si>
    <t>Mua sắm trang thiết bị văn phòng cho Ban quản lý dự án giảm nghèo tỉnh và huyện</t>
  </si>
  <si>
    <t>Chợ TTCX Mường Luân huyện Điện Biên Đông tỉnh Điện Biên</t>
  </si>
  <si>
    <t>Nâng cấp đường dân sinh nội bản Huổi Cắm xã Búng lao huyện Mường Ảng tỉnh Điện Biên</t>
  </si>
  <si>
    <t>Đường giao thông trung tâm xã Mường Toong Huổi Lếch huyện Mường Nhé</t>
  </si>
  <si>
    <t>Cầu treo dân sinh bản Vằng Xôn xã Nậm Khăn huyện Mường Chà tỉnh Điện Biên</t>
  </si>
  <si>
    <t>Thủy lợi bản Đắng khu Pá Hiêu xã Mường Đăng huyện Mường Ảng</t>
  </si>
  <si>
    <t>Đường ra khu sản xuất thôn Tào Pao - Háng Đề Dê - Đề Dê Hu xã Sính Phình huyện Tủa Chùa tỉnh Điện Biên</t>
  </si>
  <si>
    <t>Mua sắm trang thiết bị văn phòng cho các ban phát triển xã và bổ sung cho Ban quản lý dự án giảm nghèo tỉnh, huyện</t>
  </si>
  <si>
    <t>NSH Huổi Lụ 3 xã Nà Khoa huyện Mường Nhé</t>
  </si>
  <si>
    <t>Trụ sở xã Nặm Lịch huyện Mường Ảng</t>
  </si>
  <si>
    <t>Trụ sở xã Ảng Tở huyện Mường Ảng</t>
  </si>
  <si>
    <t>Đường dân sinh bản co có xã Ảng Tở huyện Mường Ảng tỉnh Điện Biên</t>
  </si>
  <si>
    <t>Đường Thanh Bình Hua Pe huyện Điện Biên</t>
  </si>
  <si>
    <t>Hệ thống cấp nước thị trấn Mường Chà tỉnh Điện Biên</t>
  </si>
  <si>
    <t>Trụ sở xã Ảng Cang huyện Mường Ảng</t>
  </si>
  <si>
    <t>Trụ sở UBND xã Tìa Dình huyện Điện Biên Đông, tỉnh Điện Biên</t>
  </si>
  <si>
    <t>Rà phá bom mìn, vật nổ trung tâm Mường ảng</t>
  </si>
  <si>
    <t>Đường hầm đờ cát vào trận địa pháo</t>
  </si>
  <si>
    <t xml:space="preserve">Kênh phai sáng xã Ảng Cang huyện Mường Ảng </t>
  </si>
  <si>
    <t>Sửa chữa NSH Háng lìa, xã Sín Chải huyện Tủa Chùa tỉnh Điện Biên</t>
  </si>
  <si>
    <t>Đường nội thị huyện Điện Biên giai đoạn I</t>
  </si>
  <si>
    <t>KCH kênh loại II - kênh thủy nông Huổi Phán xã Lay Nưa thị xã Mường Lay tỉnh Điện Biên</t>
  </si>
  <si>
    <t>Kênh thủy lợi bản Cản II - xã Quài Cang huyện Tuần Giáo tỉnh Điện Biên</t>
  </si>
  <si>
    <t>Rãnh thoát nước khu dân cư trung tâm huyện lỵ huyện Mường Nhé</t>
  </si>
  <si>
    <t>Rà phá bom mìn, vật nổ trên địa bàn xã Sín Thầu huyện Mường Nhé</t>
  </si>
  <si>
    <t>Kè bảo vệ khu dân cư bản Tả ko Khừ xã Sín Thầu</t>
  </si>
  <si>
    <t>Trụ sở xã Nà Bủng huyện Mường Nhé</t>
  </si>
  <si>
    <t>Trụ sở xã Nà Khoa huyện Mường Nhé</t>
  </si>
  <si>
    <t>Trụ sở xã nà Hỳ huyện Mường nhé</t>
  </si>
  <si>
    <t>Trụ sở xã Mường Nhé huyện Mường nhé</t>
  </si>
  <si>
    <t>Thủy lợi Huổi Xa Cuông xã Pa Thơm huyện Điện Biên tỉnh Điện Biên</t>
  </si>
  <si>
    <t>Công trình Thủy lợi xã Thanh Nưa (Thủy Lợi Cống Bản Mé, Đội 4,5,6,2)</t>
  </si>
  <si>
    <t xml:space="preserve"> Đường Chà Cang - Nà Khoa huyện Mường Nhé (nay là huyện Nậm Pồ)</t>
  </si>
  <si>
    <t>1833/QĐ-UBND 8/10/2009
590/QĐ-UBND 27/6/2011</t>
  </si>
  <si>
    <t xml:space="preserve"> Dự án dừng thi công, bố trí vốn thanh toán khối lượng đã thực hiện.</t>
  </si>
  <si>
    <t>Trụ sở xã Sa Dung huyện Điện Biên Đông</t>
  </si>
  <si>
    <t>Nhà đa năng trường phổ thông dân tộc nội trú tỉnh</t>
  </si>
  <si>
    <t>Đường Phì Nhừ - Chiếng Sơ huyện Điện Biên Đông, tỉnh Điện Biên</t>
  </si>
  <si>
    <t>Trụ sở xã Ta Ma huyện Tuần Giáo</t>
  </si>
  <si>
    <t xml:space="preserve"> Đường + Ngầm tràn bản Pá Nậm, xã Mường Lạn</t>
  </si>
  <si>
    <t>Các dự án ODA do địa phương quản lý</t>
  </si>
  <si>
    <t>Chương trình JICA</t>
  </si>
  <si>
    <t>1057/QĐ-UBND 31/8/2010; 65/QĐ-UBND 01/02/2013</t>
  </si>
  <si>
    <t>69/QĐ-UBND 10/01/2011</t>
  </si>
  <si>
    <t>1420/QĐ-UBND 01/12/2010</t>
  </si>
  <si>
    <t>Chương trình WB</t>
  </si>
  <si>
    <t>Dự án khởi công mới trong giai đoạn 2011-2015</t>
  </si>
  <si>
    <t>Dự án giảm nghèo giai đoạn 2011-2015</t>
  </si>
  <si>
    <t>T.tỉnh</t>
  </si>
  <si>
    <t xml:space="preserve">562/QĐ-UBND 12/5/2010 </t>
  </si>
  <si>
    <t>Tiểu dự án Hỗ trợ kỹ thuật CBDA Chương trình đô thị miền núi phía Bắc TP ĐBP</t>
  </si>
  <si>
    <t>TP Điện Biên Phủ</t>
  </si>
  <si>
    <t>234/QĐ-UBND 10/4/2014</t>
  </si>
  <si>
    <t>Hoàn thành trong năm 2015</t>
  </si>
  <si>
    <t>Dự án chuyển tiếp sang giai đoạn 2016-2020</t>
  </si>
  <si>
    <t>Dự án "Chương trình đô thị miền núi phía Bắc " vay vốn WB</t>
  </si>
  <si>
    <t>1.1</t>
  </si>
  <si>
    <t>Chương trình đô thị miền núi phía Bắc - thành phố Điện Biên Phủ, giai đoạn 2015-2016 (DB01)</t>
  </si>
  <si>
    <t>156/QĐ-UBND 14/02/2015</t>
  </si>
  <si>
    <t>1.2</t>
  </si>
  <si>
    <t>Chương trình đô thị miền núi phía Bắc - thành phố Điện Biên Phủ, giai đoạn 2017-2020 (DB02)</t>
  </si>
  <si>
    <t>2017-2020</t>
  </si>
  <si>
    <t xml:space="preserve">  Dự án Giảm nghèo các tỉnh miền núi phía bắc giai đoạn 2, tỉnh Điện Biên</t>
  </si>
  <si>
    <t>7/2015-6/2018</t>
  </si>
  <si>
    <t>2188/QĐ-TTg 08/12/2014</t>
  </si>
  <si>
    <t>Chương trình đảm bảo chất lượng giáo dục trường học (SEQAP)</t>
  </si>
  <si>
    <t>Xây dựng các điểm trường: Tiểu học số 2 Thanh Yên, tiểu học Thanh Hưng, tiểu học Noong Hẹt và tiểu học Thanh Luông</t>
  </si>
  <si>
    <t>Xây dựng các điểm trường: tiểu học Quài Tở, tiểu học số 1 Quài Cang, tiểu học số 1 Quài Nưa và tiểu học Bình Minh</t>
  </si>
  <si>
    <t>Xây dựng các điểm trường tiểu học: Bản Bua, Ẳng Cang, Búng Lao huyện Mường Ảng</t>
  </si>
  <si>
    <t>Xây dựng các điểm trường tiểu học: thị trấn, Keo Lôm, Nậm Ngám huyện Điện Biên Đông</t>
  </si>
  <si>
    <t>Xây dựng các điểm trường tiểu học: Số 2 Thanh Yên, Số 1 Noong Luống, Thanh Luông huyện Điện Biên</t>
  </si>
  <si>
    <t>Xây dựng các điểm trường tiểu học: Thanh An, Số 1 Thanh Xương, Số 2 Nà Tấu huyện Điện Biên</t>
  </si>
  <si>
    <t>Xây dựng các điểm trường tiểu học: thị trấn, Sính Phình 1, Xá Nhè huyện Tủa Chùa</t>
  </si>
  <si>
    <t>Xây dựng nhà đa năng tại trường tiểu học số 2 Thanh Yên, 02 phòng học tại Điểm trường Púng Thanh trường tiểu học Thanh An</t>
  </si>
  <si>
    <t>Xây dựng 01 nhà đa năng tại trường tiểu học số 1 Quài Nưa, 02 phòng học tại điểm trường Trung tâm trường tiểu học Nà Sáy và 01 phòng học tại điểm trường trung tâm trường tiểu học Bình Minh huyện Tuần Giáo</t>
  </si>
  <si>
    <t>Xây dựng nhà đa năng trường tiểu học thị trấn huyện Điện Biên Đông</t>
  </si>
  <si>
    <t>Chương trình ODA Kuwait</t>
  </si>
  <si>
    <t xml:space="preserve"> Dự án Đường Chà Tở - Mường Tùng</t>
  </si>
  <si>
    <t>Huyện M.Chà</t>
  </si>
  <si>
    <t>2010-2014</t>
  </si>
  <si>
    <t>230/QĐ-UBND  27/2/2010</t>
  </si>
  <si>
    <t>Chương trình ODA Phần Lan</t>
  </si>
  <si>
    <t>Dự án thu gom và xử lý nước thải  TP ĐBP</t>
  </si>
  <si>
    <t>24 tháng (kể từ khi dự án hoàn tất các thủ tục theo qui định)</t>
  </si>
  <si>
    <t>240/QĐ-UBND 02/3/2010</t>
  </si>
  <si>
    <t>Hoàn thành trong năm 2016</t>
  </si>
  <si>
    <t>Quỹ đối tác 2KR (Chính phủ Nhật Bản tài trợ)</t>
  </si>
  <si>
    <t xml:space="preserve"> Đường giao thông Trung Sua - Háng Lìa - Phì Sua, xã Keo Lôm, huyện Điện Biên Đông</t>
  </si>
  <si>
    <t>H.Điện BĐ</t>
  </si>
  <si>
    <t>1000/QĐ-UBND 29/9/2011</t>
  </si>
  <si>
    <t>Thủy lợi bản Phiêng Ban xã Thanh An huyện Điện Biên</t>
  </si>
  <si>
    <t>H.Điện Biên</t>
  </si>
  <si>
    <t>517/QĐ-UBND 30/6/2015</t>
  </si>
  <si>
    <t>Thủy lợi bản Háng Trợ - xã Pú Nhi – huyện Điện Biên Đông</t>
  </si>
  <si>
    <t>704/QĐ-UBND 14/8/2015</t>
  </si>
  <si>
    <t>Sửa chữa thủy lợi Lếnh Nưa- xã Thanh Hưng - huyện Điện Biên</t>
  </si>
  <si>
    <t>547/QĐ-UBND 03/7/2015</t>
  </si>
  <si>
    <t>Các dự án ODA do các bộ ngành Trung ương đầu tư trên địa bàn</t>
  </si>
  <si>
    <t>Chương trình ADB</t>
  </si>
  <si>
    <t>Nâng cấp đường Mường Thín - Mường Mùn</t>
  </si>
  <si>
    <t>Huyện TG</t>
  </si>
  <si>
    <t>2012-2015</t>
  </si>
  <si>
    <t>1009/QĐ-UBND (05/11/2012)</t>
  </si>
  <si>
    <t>Nâng cấp đường: Pú Nhung - Phình Sáng</t>
  </si>
  <si>
    <t>TG</t>
  </si>
  <si>
    <t>2012-2016</t>
  </si>
  <si>
    <t>153 (20/3/2013); 1058 (29/12/2014)</t>
  </si>
  <si>
    <t xml:space="preserve">Dự án Bạn hữu trẻ em </t>
  </si>
  <si>
    <t>12-16</t>
  </si>
  <si>
    <t>1029/QĐ-TTg (20/7/2012)</t>
  </si>
  <si>
    <t>Dự án THCS vùng khó khăn nhất giai đoạn 2 vốn ADB</t>
  </si>
  <si>
    <t>Trường THCS Na Ư</t>
  </si>
  <si>
    <t>Trường PTDTBT THCS Sa Dung</t>
  </si>
  <si>
    <t>H.Điện Biên Đông</t>
  </si>
  <si>
    <t>Trường THCS Mường Lạn</t>
  </si>
  <si>
    <t>Trường THCS Khong Hin</t>
  </si>
  <si>
    <t>Trường PTDTBT THCS Huổi Lèng</t>
  </si>
  <si>
    <t>Trường THCS Nậm Vì</t>
  </si>
  <si>
    <t>Trường THCS Nậm Tin</t>
  </si>
  <si>
    <t>Dự án phát triển GDTHPT giai đoạn 2 vốn ADB</t>
  </si>
  <si>
    <t>Trường THPT Nậm Pồ</t>
  </si>
  <si>
    <t xml:space="preserve"> Truờng Mầm non xã Mường Thín, huyện Tuần Giáo</t>
  </si>
  <si>
    <t>178A ngày
30/10/2012</t>
  </si>
  <si>
    <t>KCM</t>
  </si>
  <si>
    <t>Trụ sở làm việc Ban quản lý dự án huyện Mường Ảng</t>
  </si>
  <si>
    <t xml:space="preserve"> Đường Sen Thượng - Lò San Chái</t>
  </si>
  <si>
    <t xml:space="preserve"> Thủy lợi Pờ Nhù Khò</t>
  </si>
  <si>
    <t>2128/QĐ-UB
3/12/2009</t>
  </si>
  <si>
    <t>1338/QĐ-UB
2/1/2010</t>
  </si>
  <si>
    <t>Chương trình 120</t>
  </si>
  <si>
    <t>Trụ sở UBND xã Mường Tùng</t>
  </si>
  <si>
    <t xml:space="preserve"> 513/QĐ-UBND 07/7/2014</t>
  </si>
  <si>
    <t>Mở rộng trụ sở Hội đồng nhân dân tỉnh</t>
  </si>
  <si>
    <t xml:space="preserve"> Trụ sở công an xã  huyện Mường Chà  (1 xã)</t>
  </si>
  <si>
    <t xml:space="preserve">Trụ sở Công an xã Thanh Minh </t>
  </si>
  <si>
    <t xml:space="preserve"> Trụ sở công an xã  huyện Tủa Chùa  (1 xã)</t>
  </si>
  <si>
    <t xml:space="preserve"> - Đường Phiêng Pi - Trại Phong</t>
  </si>
  <si>
    <t xml:space="preserve"> - Đường Rạng Đông - Ta Ma</t>
  </si>
  <si>
    <t xml:space="preserve"> - Thủy lợi, NSH bản Nậm Mu, Phình Sáng</t>
  </si>
  <si>
    <t xml:space="preserve"> - NSH bản Nậm Din xã Phình Sáng</t>
  </si>
  <si>
    <t xml:space="preserve"> Đối ứng các dự án ODA</t>
  </si>
  <si>
    <t xml:space="preserve"> Trong đó: Giáo dục</t>
  </si>
  <si>
    <t>XIV</t>
  </si>
  <si>
    <t>Lồng ghép vốn TPCP</t>
  </si>
  <si>
    <t>Lồng ghép vốn Sự nghiệp NSTW</t>
  </si>
  <si>
    <t xml:space="preserve"> Trong đó: Chi cho Giáo dục</t>
  </si>
  <si>
    <t>Bố trí trực tiếp trong nguồn phân bổ cho huyện Mường Chà</t>
  </si>
  <si>
    <t>B</t>
  </si>
  <si>
    <t>Có biểu chi tiết kèm theo</t>
  </si>
  <si>
    <t>Công trình cấp bách (KCM)</t>
  </si>
  <si>
    <t>KH 2016 bố trí vốn dứt điểm</t>
  </si>
  <si>
    <t>KẾ HOẠCH PHÂN BỔ</t>
  </si>
  <si>
    <t>TỔNG NGUỒN</t>
  </si>
  <si>
    <t>Trong đó: - Hỗ trợ từ trung ương</t>
  </si>
  <si>
    <t>4929/QĐ-UBND; 01/11/2011</t>
  </si>
  <si>
    <t>Đã phê duyệt QTDAHT</t>
  </si>
  <si>
    <t>114/QĐ-UBND; 20/10/2011</t>
  </si>
  <si>
    <t>Xây dựng các trường tiểu học: số 1 Na Sang, Hừa Ngài huyện M.Chà</t>
  </si>
  <si>
    <t>Huyện Mường Chà</t>
  </si>
  <si>
    <t>1231/QĐ-UBND; 03/8/2012</t>
  </si>
  <si>
    <t>1869/QĐ-UBND; 31/10/2012</t>
  </si>
  <si>
    <t>893a/QĐ-UBND; 14/9/2012</t>
  </si>
  <si>
    <t>2013</t>
  </si>
  <si>
    <t>3683/QĐ-UBND; 25/9/2013</t>
  </si>
  <si>
    <t>3682/QĐ-UBND; 25/9/2013</t>
  </si>
  <si>
    <t>1657/QĐ-UBND; 18/9/2013</t>
  </si>
  <si>
    <t xml:space="preserve"> Dự án hoàn thành, bàn giao đưa vào sử dụng trước ngày 31/12/2015</t>
  </si>
  <si>
    <t>Thanh toán dứt điểm</t>
  </si>
  <si>
    <t>4950/QĐ-UBND; 20/10/2014</t>
  </si>
  <si>
    <t xml:space="preserve">số 30/QĐ-UBND ngày 18/01/2013 </t>
  </si>
  <si>
    <t>2794/QĐ-UBND; 30/10/2014</t>
  </si>
  <si>
    <t xml:space="preserve"> 878/QĐ-UBND; 21/9/2015</t>
  </si>
  <si>
    <t xml:space="preserve"> 877/QĐ-UBND; 21/9/2015</t>
  </si>
  <si>
    <t>Dự kiến bố trí vốn đối ứng trong 2 năm 2016+2017</t>
  </si>
  <si>
    <t>H
M Ảng</t>
  </si>
  <si>
    <t xml:space="preserve"> 925/QĐ-UBND; 29/9/2015</t>
  </si>
  <si>
    <t>H
T. Giáo</t>
  </si>
  <si>
    <t>927/QĐ-UBND; 29/9/2015</t>
  </si>
  <si>
    <t>H
M. Chà</t>
  </si>
  <si>
    <t>926/QĐ-UBND; 29/9/2015</t>
  </si>
  <si>
    <t>H
M Nhé</t>
  </si>
  <si>
    <t>915/QĐ-UBND; 28/9/2015</t>
  </si>
  <si>
    <t>H
Nậm Pồ</t>
  </si>
  <si>
    <t>1090/QĐ-UBND; 27/10/2015</t>
  </si>
  <si>
    <t>1044/QĐ-UBND; 22/10/2015</t>
  </si>
  <si>
    <t>Dự kiến bố trí vốn đối ứng trong 3 năm 2016+2018</t>
  </si>
  <si>
    <t>XI</t>
  </si>
  <si>
    <t>TTr 1358 12/11/2014</t>
  </si>
  <si>
    <t>Nhà Công vụ, nhà NT các trường THCS: Mường Lói, Tìa Dình, Ngói Cáy, Mường Nhé thuộc 4 huyện: Điện Biên, Điện Biên Đông, Mường Ảng và Mường Nhé</t>
  </si>
  <si>
    <t>Các huyện</t>
  </si>
  <si>
    <t>12/2008-01/2010</t>
  </si>
  <si>
    <t>1477/QĐ-SGD 14/10/2008</t>
  </si>
  <si>
    <t>Cải tạo, sửa chữa thiết bị trường THPT Chà Cang huyện Mường Nhé</t>
  </si>
  <si>
    <t>10/2009-5/2010</t>
  </si>
  <si>
    <t>1995/QĐ-UBND 11/10</t>
  </si>
  <si>
    <t>Trường phổ thông DTNT THPT huyện Mường Chà</t>
  </si>
  <si>
    <t>12/2010-11/2011</t>
  </si>
  <si>
    <t>1303/QĐ-UBND 20/10/2010;
1565/QĐ-SGDĐT; 26/11/2013</t>
  </si>
  <si>
    <t xml:space="preserve">CT QT còn thiếu vốn </t>
  </si>
  <si>
    <t>Điện Biên
 Đông</t>
  </si>
  <si>
    <t>Dự phòng 10%</t>
  </si>
  <si>
    <t>Trụ sở liên cơ trạm bảo vệ thực vật, trạm thú y, trạm khuyến nông, hạt kiểm lâm huyện Nậm Pồ</t>
  </si>
  <si>
    <t>PKĐKKV Ba Chà huyện Nậm Pồ</t>
  </si>
  <si>
    <t xml:space="preserve"> Trường Mầm non 20-10</t>
  </si>
  <si>
    <t>998/QĐ-UBND 30/10/2013</t>
  </si>
  <si>
    <t xml:space="preserve">Nhà thư viện thuộc Dự án Nhà thí nghiệm, thư viện Trường Cao đẳng Kinh tế - Kỹ thuật Điện Biên </t>
  </si>
  <si>
    <t xml:space="preserve"> 1060a
ngày 24/10/2011</t>
  </si>
  <si>
    <t>Đường nội bộ trung tâm cụm xã Nà Hỳ huyện Mường Nhé (nay là huyện Nậm Pồ)</t>
  </si>
  <si>
    <t>Nâng cấp đường vào trường TH, trường THCS và đầu tư hạng mục phụ trợ trường THCS, trường MN xã Mường Nhà huyện Điện Biên</t>
  </si>
  <si>
    <t>344, ngày 19/4/2011</t>
  </si>
  <si>
    <t>18, ngày 09/8/2013;
02-QĐ/VPTU
04/9/2015</t>
  </si>
  <si>
    <t>Lồng ghép 90% vốn NSTW</t>
  </si>
  <si>
    <t>2113a,
30/9/2013</t>
  </si>
  <si>
    <t>Bệnh viện đa khoa thành phố Điện Biên Phủ</t>
  </si>
  <si>
    <t>12/QĐ-UBND
8/01/2010</t>
  </si>
  <si>
    <t>TH gói thầu XD hệ thống cấp điện, xử lý nước thải đưa vào hoạt động</t>
  </si>
  <si>
    <t>Đề nghị bổ sung bố trí cho dự án này</t>
  </si>
  <si>
    <t xml:space="preserve"> Trạm y tế Quài Cang - Tuần Giáo</t>
  </si>
  <si>
    <t>T.Giáo</t>
  </si>
  <si>
    <t>Sở Y tế</t>
  </si>
  <si>
    <t xml:space="preserve"> Trường THCS xã Nà Sáy</t>
  </si>
  <si>
    <t>UBND huyện Tuần Giáo</t>
  </si>
  <si>
    <t>Cty TNHH XD cấp nước ĐB</t>
  </si>
  <si>
    <t>BQLDA huyện Điện Biên Đông</t>
  </si>
  <si>
    <t>BQLDA huyện Mường Ảng</t>
  </si>
  <si>
    <t>Ban QLDA chuyên ngành công thương</t>
  </si>
  <si>
    <t>BQLDA chuyện ngành NN&amp;PTNT</t>
  </si>
  <si>
    <t>BQLDA huyện Mường Nhé</t>
  </si>
  <si>
    <t>BQLDA huyện Mường Chà</t>
  </si>
  <si>
    <t>BQLDA huyện Tủa Chùa</t>
  </si>
  <si>
    <t>BQLDA huyện Nậm Pồ</t>
  </si>
  <si>
    <t>Ban QLDA chuyên ngành NN&amp;PTNT</t>
  </si>
  <si>
    <t>Bộ CH Bộ Chỉ huy QS tỉnh</t>
  </si>
  <si>
    <t>Nhà tạm giữ xử phạt hành chính thuộc Công an huyện Tuần Giáo</t>
  </si>
  <si>
    <t>Công an tỉnh</t>
  </si>
  <si>
    <t>Sở Khoa học công nghệ</t>
  </si>
  <si>
    <t>Văn phòng Tỉnh ủy</t>
  </si>
  <si>
    <t>Văn phòng HĐND tỉnh</t>
  </si>
  <si>
    <t xml:space="preserve"> Trường Cao đẳng KTTH</t>
  </si>
  <si>
    <t>BLDA huyện Tuần Giáo</t>
  </si>
  <si>
    <t>Đường vào Trường Dạy nghề tỉnh Điện Biên</t>
  </si>
  <si>
    <t>119/QĐ-TrTCN 27/3/2012</t>
  </si>
  <si>
    <t>Trường Cao Đẳng nghề</t>
  </si>
  <si>
    <t>Đề nghị bổ sung</t>
  </si>
  <si>
    <t xml:space="preserve">Bố trí thanh toán nợ các dự án TPCP giáo dục đã hết hạn mức vốn giai đoạn 2008-2015 Chính phủ đã thông báo </t>
  </si>
  <si>
    <t>Xây dựng trường Mầm non Pu Nhi xã Pu Nhi</t>
  </si>
  <si>
    <t>BQLDA-TP Điện Biên Phủ</t>
  </si>
  <si>
    <t>BQLDA huyện Điện Biên</t>
  </si>
  <si>
    <t>Ghi chú/Chủ đầu tư</t>
  </si>
  <si>
    <t>Ghi chú/ Chủ đầu tư</t>
  </si>
  <si>
    <t>Nước sinh hoạt bản Lả Chà, xã Pa Tần</t>
  </si>
  <si>
    <t>Nước sinh hoạt bản púng bon, xã Pa Thơm</t>
  </si>
  <si>
    <t>San nền giao thông thoát nước bản si Văn, xã Pa Thơm</t>
  </si>
  <si>
    <t>San nền giao thông thoát nước bản Púng Bon, xã Pa Thơm</t>
  </si>
  <si>
    <t>Nước sinh hoạt bản Nậm Kè, xã Nậm Kè</t>
  </si>
  <si>
    <t>Trường Mầm non Thị trấn</t>
  </si>
  <si>
    <t>Trường THCS Chung Chải - Mường Nhé</t>
  </si>
  <si>
    <t>Dự kiến Bổ sung điều chỉnh Kế hoạch 2015 là  620 triệu đồng</t>
  </si>
  <si>
    <t>Dự kiến Bổ sung điều chỉnh Kế hoạch 2015 là  720 triệu đồng</t>
  </si>
  <si>
    <r>
      <t xml:space="preserve">Nhu cầu cân đối </t>
    </r>
    <r>
      <rPr>
        <sz val="10"/>
        <rFont val="Times New Roman"/>
        <family val="1"/>
      </rPr>
      <t>2016-2020</t>
    </r>
  </si>
  <si>
    <t>1104/QĐ-UBND ngày 30/10/2015</t>
  </si>
  <si>
    <t>1103/QĐ-UBND ngày 30/10/2015</t>
  </si>
  <si>
    <t>1102/QĐ-UBND ngày 30/10/2015</t>
  </si>
  <si>
    <t>Ban dân tộc</t>
  </si>
  <si>
    <t>1137/QĐ-UBND
30/10/2015</t>
  </si>
  <si>
    <t>1136/QĐ-UBND
30/10/2015</t>
  </si>
  <si>
    <t>Trường Tiểu học trung tâm huyện</t>
  </si>
  <si>
    <t>Xây dựng mới Trại thực nghiệm KH&amp;CN  (xây dựng mới hệ thống các phòng thí nghiệm công nghệ sinh học và phân tích kiểm nghiệm)</t>
  </si>
  <si>
    <t>Xây dựng trường Mầm non Hoa Hồng</t>
  </si>
  <si>
    <t>Nhà đa năng, sân đường nội bộ trường THPT Phan Đình Giót</t>
  </si>
  <si>
    <t>9/2012-
8/2013</t>
  </si>
  <si>
    <t>1221/QĐ-SGDĐT 21/10/2011</t>
  </si>
  <si>
    <t>Lồng ghép vốn CTMQQG giáo dục</t>
  </si>
  <si>
    <t>Nhà đa năng trường THCS Thanh Xương</t>
  </si>
  <si>
    <t>1769A/QĐ-SGDĐT 29/10/2012</t>
  </si>
  <si>
    <t>Kè bảo vệ khu dân cư khối Sơn Thuỷ và Tân Lập, thị trấn Tuần Giáo</t>
  </si>
  <si>
    <t>1277/QĐ-UBND 13/10/2010</t>
  </si>
  <si>
    <t xml:space="preserve"> Số 933/QĐ-SVHTTDL ngày 13/10/2010</t>
  </si>
  <si>
    <t>Thiết bị nhà khách UBND tỉnh</t>
  </si>
  <si>
    <t xml:space="preserve"> Điểm trường TT, Nậm ngà, Sín Chải trường Mầm non Nà Hỳ - MN</t>
  </si>
  <si>
    <t xml:space="preserve"> Điểm trường Phiêng ngúa, Huổi Sang…. trường Mầm non Nà Hỳ - MN</t>
  </si>
  <si>
    <t xml:space="preserve"> Trường THCS Chung chải + 6 phòng CV Giáo viên</t>
  </si>
  <si>
    <t xml:space="preserve"> Nhà công vụ TH M. nhé 2, TH Nậm kè 1+2, THCS Quảng Lâm</t>
  </si>
  <si>
    <t xml:space="preserve"> Các điểm trường TT, Ta hăm, Huổi sâu, Nậm thà là trường Mầm non Pa tần</t>
  </si>
  <si>
    <t xml:space="preserve"> Các điểm trường Nà Bủng, Nậm tắt, Nộc cốc, Huổi khương Mầm non Nà bủng</t>
  </si>
  <si>
    <t xml:space="preserve"> Điểm trường Mầm non +TH bản Chà nọi xã Quảng lâm</t>
  </si>
  <si>
    <t xml:space="preserve"> Trường Tiểu học số 1+số 2 Mường Nhé</t>
  </si>
  <si>
    <t xml:space="preserve"> Trường Mầm non Trung tâm Mường Nhé</t>
  </si>
  <si>
    <t>1786/QĐ-UBND 28/11/2008</t>
  </si>
  <si>
    <t>1615/QĐ-UBND 04/11/2008</t>
  </si>
  <si>
    <t>1465/QĐ-UBND 13/10/2008</t>
  </si>
  <si>
    <t>1666/QĐ-UBND 14/9/2009</t>
  </si>
  <si>
    <t>1784/QĐ-UBND  28/11/2008</t>
  </si>
  <si>
    <t>1782/QĐ-UBND  28/11/2008</t>
  </si>
  <si>
    <t>1151/QĐ-UBND 13/10/2008</t>
  </si>
  <si>
    <t>1787/QĐ-UBND 28/11/2008</t>
  </si>
  <si>
    <t>1783/QĐ-UBND 28/11/2008</t>
  </si>
  <si>
    <t>KH 2016 bố trí vốn dứt điểm (H.ứng NSĐP)</t>
  </si>
  <si>
    <t>Chợ + Cửa hàng thương mại trung tậm cụm xã Mường Toong, xã Mường Toong, huyện Mường Nhé</t>
  </si>
  <si>
    <t>Trụ sở liên cơ Công thương - Tài nguyên và môi trường huyện Tủa Chùa</t>
  </si>
  <si>
    <t>Trụ sở UBND xã Sín Chải huyện Tủa Chùa, tỉnh Điện Biên</t>
  </si>
  <si>
    <t>Sửa chữa bộ chỉ huy quân sự tỉnh Điện Biên</t>
  </si>
  <si>
    <t>Hỗ trợ thiết bị Trung tâm chỉ huy  CSLV Khối An ninh - trực thuộc công an tỉnh</t>
  </si>
  <si>
    <t>Trung tâm giáo dục thường xuyên huyện Điện Biên</t>
  </si>
  <si>
    <t>1418/QĐ-SGĐT
29/4/2014</t>
  </si>
  <si>
    <t>Trụ sở xã Phình Sáng huyện Tuần Giáo</t>
  </si>
  <si>
    <t xml:space="preserve"> Trụ sở xã Tênh Phông huyện Tuần Giáo</t>
  </si>
  <si>
    <t>Trụ sở QLTT số 2 Điện Biên Đông</t>
  </si>
  <si>
    <t xml:space="preserve">Thủy lợi xã Thanh Nưa (thay Thủy Lợi Cống Bản Mé, Đội 4,5,6,2 theo địa danh thực tế) </t>
  </si>
  <si>
    <t>Đường tránh lũ bản Chiềng Lao - Pha Hún, xã Xuân Lao</t>
  </si>
  <si>
    <t>Các nhánh đường nội thị phường Tân Thanh và Him Lam</t>
  </si>
  <si>
    <t>132/QĐ-UBND
10/2/2003
302/QĐ-UBND 26/6/2015</t>
  </si>
  <si>
    <t>Thủy lợi Vàng Páo Giàng xã Sính Phình huyện Tủa Chùa tỉnh Điện Biên</t>
  </si>
  <si>
    <t xml:space="preserve"> 30/QĐ-UBND ngày 18/01/2013 </t>
  </si>
  <si>
    <t>Vốn nước ngoài 27 tỷ  Hoàn thành trong năm 2016</t>
  </si>
  <si>
    <t xml:space="preserve">  Đối ứng vốn NSTW</t>
  </si>
  <si>
    <t>Vôn NTM 2 tỷ; Dân đóng góp  3,245 trđ; NS huyện 3.456 trđ</t>
  </si>
  <si>
    <t>58/QĐ-UBND
14/7/2015</t>
  </si>
  <si>
    <t>Trung tâm đăng kiểm xe cơ giới tỉnh Điện Biên</t>
  </si>
  <si>
    <t>1145/QĐ-UBND
30/10/2015</t>
  </si>
  <si>
    <t>Lũy kế giải ngân từ KC đến 31/01/2015</t>
  </si>
  <si>
    <t>Sở Tham mưu</t>
  </si>
  <si>
    <t xml:space="preserve">(Kèm theo Báo cáo số:                   /BC-UBND ngày          /11/2015 của UBND tỉnh Điện Biên) </t>
  </si>
  <si>
    <t xml:space="preserve">Tổng số
</t>
  </si>
  <si>
    <t>GIAO DANH MỤC VÀ VỐN ĐẦU TƯ TỪ NGUỒN VỐN CẦN ĐỐI NSĐP (VỐN TRONG NƯỚC) KẾ HOẠCH NĂM 2016 - TỈNH ĐIỆN BIÊN</t>
  </si>
  <si>
    <t xml:space="preserve">Trang thiết bị nội thất Nhà khách HĐND-UBND tỉnh </t>
  </si>
  <si>
    <t>470/QĐ-UB ngày 01/4/2004</t>
  </si>
  <si>
    <t>835/QĐ-UBND 30/10/2014</t>
  </si>
  <si>
    <t>Tăng giảm so với Sở Tham mưu</t>
  </si>
  <si>
    <t>KH 2016 bố trí vốn dứt điểm (H.ứng NSĐP 1 tỷ đồng)</t>
  </si>
  <si>
    <t>Dự án hoàn thành năm 2015; H.ứng NSĐP 2,14 tỷ đồng</t>
  </si>
  <si>
    <t>1146/QĐ-UBND 30/10/2015</t>
  </si>
  <si>
    <t>Kè chống sạt lở khu dân cư trung tâm xã Thanh Luông, xã Thanh Luông, huyện Điện Biên</t>
  </si>
  <si>
    <t>550/QĐ-UBND ngày 14/6/2011</t>
  </si>
  <si>
    <t>Đầu tư bổ sung CSVC trung tâm KTTH-HN tỉnh</t>
  </si>
  <si>
    <t>Sở GDĐT</t>
  </si>
  <si>
    <t>Trường THCS và THPT Quài Tở</t>
  </si>
  <si>
    <t>Hoàn ứng vốn TTCX năm 2009</t>
  </si>
  <si>
    <t xml:space="preserve"> Đường nội cụm TTCX Phình Sáng</t>
  </si>
  <si>
    <t>Hoàn ứng  vốn TTCX năm 2009</t>
  </si>
  <si>
    <t xml:space="preserve"> Trường THCS xã Phình Sáng</t>
  </si>
  <si>
    <t xml:space="preserve">  Đường Nội bộ TTCX Nà Sáy</t>
  </si>
  <si>
    <t>CT Quyết toán còn thiếu vốn (hoàn ứng NSĐP năm 2009: 274 Trđ)</t>
  </si>
  <si>
    <t xml:space="preserve"> Sửa chữa NSH TTCX Mường Luân</t>
  </si>
  <si>
    <t xml:space="preserve"> Đường nội bộ TTCX Mường Luân</t>
  </si>
  <si>
    <t xml:space="preserve"> SC, NC nước sinh hoạt TTCX Sư Lư</t>
  </si>
  <si>
    <t xml:space="preserve">Hoàn ứng vốn NSĐP năm 2013 </t>
  </si>
  <si>
    <t>KH 2016 bố trí vốn TT dứt điểm  (hoàn ứng vốn TTCX năm 2009 497 trđ)</t>
  </si>
  <si>
    <t xml:space="preserve"> Sửa chữa công trình NSH trung tâm cụm xã Tả Sìn Thàng</t>
  </si>
  <si>
    <t xml:space="preserve"> Hoàn ứng NSĐP năm 2009</t>
  </si>
  <si>
    <t>Nâng cấp, sửa chữa chợ trung tâm Tả Sìn Thàng</t>
  </si>
  <si>
    <t xml:space="preserve"> Đường nội bộ trung tâm xã Tả Sìn Thàng</t>
  </si>
  <si>
    <t>Biểu số 10</t>
  </si>
  <si>
    <t>Biểu số 10a</t>
  </si>
  <si>
    <t>Biểu mẫu số 10b</t>
  </si>
  <si>
    <t>Biểu số 10c</t>
  </si>
  <si>
    <t>Biểu số 10d</t>
  </si>
  <si>
    <t>DANH MỤC VÀ MỨC VỐN ĐỐI ỨNG TỪ NSĐP CHO CÁC DỰ ÁN ODA DO ĐỊA PHƯƠNG QUẢN LÝ 
VÀ CÁC DỰ ÁN ODA DO CÁC BỘ NGÀNH TRUNG ƯƠNG ĐẦU TƯ TRÊN ĐỊA BÀN</t>
  </si>
  <si>
    <t xml:space="preserve"> NSĐP bố trí cho phần tăng TMĐT</t>
  </si>
  <si>
    <t xml:space="preserve"> Hạng mục phụ trợ trường CĐKTKT Đ. Biên</t>
  </si>
  <si>
    <t>Lồng ghép vốn phòng chống lũ lụt bão NSTW</t>
  </si>
  <si>
    <t xml:space="preserve"> Đối ứng nguốn vốn NSTW</t>
  </si>
  <si>
    <t>Lồng ghép
3 tỷ quỹ bảo trì đường bộ tỉnh</t>
  </si>
  <si>
    <t>Lồng ghép vốn sự nghiệp 5,65 tỷ</t>
  </si>
  <si>
    <t>UBND tỉnh có văn bản dừng thi công, yêu cầu UBND huyện xác định điểm dừng kỹ thuật</t>
  </si>
  <si>
    <t>Đền bù GPMB cụm điểm tựa phòng ngự cấp tiểu đoàn (địa bàn huyện Điện Biên)</t>
  </si>
  <si>
    <t>Đền bù GPMB cụm điểm tựa phòng ngự cấp tiểu đoàn  (địa bàn huyện Nậm Pồ)</t>
  </si>
  <si>
    <t>Nhà ở cán bộ chiến sỹ Trạm kiểm soát Nà Bủng - Đồn Biên phòng Nà Bủng, xã Nà Bủng, huyện Nậm Pồ</t>
  </si>
  <si>
    <t>Kế hoạch 2016 bố trí vốn thanh toán đứt điểm</t>
  </si>
  <si>
    <t>Kế hoạch 2016 bố trí vốn thanh toán dứt điểm</t>
  </si>
  <si>
    <t>(H.ứng NSĐP 7tỷ đồng</t>
  </si>
  <si>
    <t xml:space="preserve"> Trụ sở Phòng Tài chính huyện Tuần Giáo</t>
  </si>
  <si>
    <t>1341/QĐ-UBND 5/11/2010; 774/QĐ-UBND 14/10/
2014</t>
  </si>
  <si>
    <t>Vốn JICA 21 tỷ</t>
  </si>
  <si>
    <t xml:space="preserve"> Trung tâm 05-06 tỉnh
(Trung tâm chữa bệnh - Giáo dục - lao động xã hội tỉnh )</t>
  </si>
  <si>
    <t>Bố trí trực tiếp vào địa bàn các huyện có dự án</t>
  </si>
  <si>
    <t>Lồng ghép vốn NSTW-MTQG</t>
  </si>
  <si>
    <t>LG vốn NTM</t>
  </si>
  <si>
    <t xml:space="preserve"> Đường Huổi Thủng - Na Cô Sa</t>
  </si>
  <si>
    <t xml:space="preserve"> Hoàn ứng NSĐP năm 2011 </t>
  </si>
  <si>
    <t>1341/QĐ-UBND 5/11/2010; 774/QĐ-UBND 14/10/2014</t>
  </si>
  <si>
    <t>Huyện M Ảng</t>
  </si>
  <si>
    <t>Huyện
Điện Biên</t>
  </si>
  <si>
    <t>983/QĐ-UBND 30/10/2012</t>
  </si>
  <si>
    <t>10% nguồn dự phòng cân đối NSĐP dự kiến bố trí cho các dự án lồng ghép vốn NSTW, TPCP, MTQG</t>
  </si>
  <si>
    <t xml:space="preserve"> Cải tạo, sửa chữa trụ sở Phòng Giáo dục Tuần Giáo</t>
  </si>
  <si>
    <t>Thủy lợi bản Ná Bá Ban, xã Mường lạn (Thay Thủy lợi bản Pơ Mu, xã Mường Đăng đầu tư không hiệu quả)</t>
  </si>
  <si>
    <t>96a/QĐ-UBND 
02/8/2012</t>
  </si>
  <si>
    <t>KCM 2015 (Lồng ghép vốn Sự nghiệp 2,8 tỷ đồng)</t>
  </si>
  <si>
    <t>Lồng ghép  vốn NSTW</t>
  </si>
  <si>
    <t>Thanh toán khối lượng hoàn thành  gói thầu số 3</t>
  </si>
  <si>
    <t>LG vốn 30a</t>
  </si>
  <si>
    <t>LG vốnTPCP</t>
  </si>
  <si>
    <t>LG vốn TPCP</t>
  </si>
  <si>
    <t>1178/QĐ-UBND
30/10/2015</t>
  </si>
  <si>
    <t>TĐ Đối ứng ODA giáo dục 8.206 trđ</t>
  </si>
  <si>
    <t xml:space="preserve">                - Nguồn thu từ sử dụng đất</t>
  </si>
</sst>
</file>

<file path=xl/styles.xml><?xml version="1.0" encoding="utf-8"?>
<styleSheet xmlns="http://schemas.openxmlformats.org/spreadsheetml/2006/main">
  <numFmts count="1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VND&quot;#,##0_);[Red]\(&quot;VND&quot;#,##0\)"/>
    <numFmt numFmtId="174" formatCode="_-* #,##0.00_-;\-* #,##0.00_-;_-* &quot;-&quot;??_-;_-@_-"/>
    <numFmt numFmtId="175" formatCode="#,##0.0"/>
    <numFmt numFmtId="176" formatCode="#,##0.0_);\(#,##0.0\)"/>
    <numFmt numFmtId="177" formatCode="#,##0.000_);\(#,##0.000\)"/>
    <numFmt numFmtId="178" formatCode="#,##0;[Red]#,##0"/>
    <numFmt numFmtId="179" formatCode="&quot;True&quot;;&quot;True&quot;;&quot;False&quot;"/>
    <numFmt numFmtId="180" formatCode="0.00000"/>
    <numFmt numFmtId="181" formatCode="0.0000"/>
    <numFmt numFmtId="182" formatCode="0.000"/>
    <numFmt numFmtId="183" formatCode="_-&quot;ñ&quot;* #,##0_-;\-&quot;ñ&quot;* #,##0_-;_-&quot;ñ&quot;* &quot;-&quot;_-;_-@_-"/>
    <numFmt numFmtId="184" formatCode="_-* #,##0\ &quot;F&quot;_-;\-* #,##0\ &quot;F&quot;_-;_-* &quot;-&quot;\ &quot;F&quot;_-;_-@_-"/>
    <numFmt numFmtId="185" formatCode="&quot;\&quot;#,##0;[Red]&quot;\&quot;&quot;\&quot;\-#,##0"/>
    <numFmt numFmtId="186" formatCode="#.##00"/>
    <numFmt numFmtId="187" formatCode="_-* #,##0_-;\-* #,##0_-;_-* &quot;-&quot;_-;_-@_-"/>
    <numFmt numFmtId="188" formatCode="&quot;Rp&quot;#,##0_);[Red]\(&quot;Rp&quot;#,##0\)"/>
    <numFmt numFmtId="189" formatCode="_-&quot;$&quot;* #,##0_-;\-&quot;$&quot;* #,##0_-;_-&quot;$&quot;* &quot;-&quot;_-;_-@_-"/>
    <numFmt numFmtId="190" formatCode="_-* #,##0\ _F_-;\-* #,##0\ _F_-;_-* &quot;-&quot;\ _F_-;_-@_-"/>
    <numFmt numFmtId="191" formatCode="_ * #,##0_)\ &quot;$&quot;_ ;_ * \(#,##0\)\ &quot;$&quot;_ ;_ * &quot;-&quot;_)\ &quot;$&quot;_ ;_ @_ "/>
    <numFmt numFmtId="192" formatCode="_ * #,##0_)&quot;$&quot;_ ;_ * \(#,##0\)&quot;$&quot;_ ;_ * &quot;-&quot;_)&quot;$&quot;_ ;_ @_ "/>
    <numFmt numFmtId="193" formatCode="_-* #,##0.00\ _F_-;\-* #,##0.00\ _F_-;_-* &quot;-&quot;??\ _F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 &quot;ñ&quot;_-;\-* #,##0\ &quot;ñ&quot;_-;_-* &quot;-&quot;\ &quot;ñ&quot;_-;_-@_-"/>
    <numFmt numFmtId="200" formatCode="_ * #,##0_)\ _$_ ;_ * \(#,##0\)\ _$_ ;_ * &quot;-&quot;_)\ _$_ ;_ @_ "/>
    <numFmt numFmtId="201" formatCode="_ * #,##0_)_$_ ;_ * \(#,##0\)_$_ ;_ * &quot;-&quot;_)_$_ ;_ @_ "/>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_ ;_ * \-#,##0_ ;_ * &quot;-&quot;_ ;_ @_ "/>
    <numFmt numFmtId="211" formatCode="_ * #,##0.00_)&quot;$&quot;_ ;_ * \(#,##0.00\)&quot;$&quot;_ ;_ * &quot;-&quot;??_)&quot;$&quot;_ ;_ @_ "/>
    <numFmt numFmtId="212" formatCode="_ * #,##0.00_ ;_ * \-#,##0.00_ ;_ * &quot;-&quot;??_ ;_ @_ "/>
    <numFmt numFmtId="213" formatCode="_ * #,##0.0_)_$_ ;_ * \(#,##0.0\)_$_ ;_ * &quot;-&quot;??_)_$_ ;_ @_ "/>
    <numFmt numFmtId="214" formatCode=";;"/>
    <numFmt numFmtId="215" formatCode="0.0%"/>
    <numFmt numFmtId="216" formatCode="&quot;$&quot;#,##0.00"/>
    <numFmt numFmtId="217" formatCode="_ * #,##0.00_)&quot;£&quot;_ ;_ * \(#,##0.00\)&quot;£&quot;_ ;_ * &quot;-&quot;??_)&quot;£&quot;_ ;_ @_ "/>
    <numFmt numFmtId="218" formatCode="_-&quot;$&quot;* #,##0.00_-;\-&quot;$&quot;* #,##0.00_-;_-&quot;$&quot;* &quot;-&quot;??_-;_-@_-"/>
    <numFmt numFmtId="219" formatCode="0.0%;\(0.0%\)"/>
    <numFmt numFmtId="220" formatCode="_-* #,##0.00\ &quot;F&quot;_-;\-* #,##0.00\ &quot;F&quot;_-;_-* &quot;-&quot;??\ &quot;F&quot;_-;_-@_-"/>
    <numFmt numFmtId="221" formatCode="0.000_)"/>
    <numFmt numFmtId="222" formatCode="_-* #,##0.00\ _V_N_D_-;\-* #,##0.00\ _V_N_D_-;_-* &quot;-&quot;??\ _V_N_D_-;_-@_-"/>
    <numFmt numFmtId="223" formatCode="&quot;\&quot;#&quot;,&quot;##0&quot;.&quot;00;[Red]&quot;\&quot;\-#&quot;,&quot;##0&quot;.&quot;00"/>
    <numFmt numFmtId="224" formatCode="#,##0.00;[Red]#,##0.00"/>
    <numFmt numFmtId="225" formatCode="#,##0;\(#,##0\)"/>
    <numFmt numFmtId="226" formatCode="_ &quot;R&quot;\ * #,##0_ ;_ &quot;R&quot;\ * \-#,##0_ ;_ &quot;R&quot;\ * &quot;-&quot;_ ;_ @_ "/>
    <numFmt numFmtId="227" formatCode="_ * #,##0.00_ ;_ * &quot;\&quot;&quot;\&quot;&quot;\&quot;&quot;\&quot;&quot;\&quot;&quot;\&quot;\-#,##0.00_ ;_ * &quot;-&quot;??_ ;_ @_ "/>
    <numFmt numFmtId="228" formatCode="&quot;\&quot;#,##0.00;&quot;\&quot;&quot;\&quot;&quot;\&quot;&quot;\&quot;&quot;\&quot;&quot;\&quot;&quot;\&quot;&quot;\&quot;\-#,##0.00"/>
    <numFmt numFmtId="229" formatCode="_ * #,##0_ ;_ * &quot;\&quot;&quot;\&quot;&quot;\&quot;&quot;\&quot;&quot;\&quot;&quot;\&quot;\-#,##0_ ;_ * &quot;-&quot;_ ;_ @_ "/>
    <numFmt numFmtId="230" formatCode="\$#,##0\ ;\(\$#,##0\)"/>
    <numFmt numFmtId="231" formatCode="\t0.00%"/>
    <numFmt numFmtId="232" formatCode="_(\§\g\ #,##0_);_(\§\g\ \(#,##0\);_(\§\g\ &quot;-&quot;??_);_(@_)"/>
    <numFmt numFmtId="233" formatCode="_(\§\g\ #,##0_);_(\§\g\ \(#,##0\);_(\§\g\ &quot;-&quot;_);_(@_)"/>
    <numFmt numFmtId="234" formatCode="\t#\ ??/??"/>
    <numFmt numFmtId="235" formatCode="\§\g#,##0_);\(\§\g#,##0\)"/>
    <numFmt numFmtId="236" formatCode="_-&quot;VND&quot;* #,##0_-;\-&quot;VND&quot;* #,##0_-;_-&quot;VND&quot;* &quot;-&quot;_-;_-@_-"/>
    <numFmt numFmtId="237" formatCode="_(&quot;Rp&quot;* #,##0.00_);_(&quot;Rp&quot;* \(#,##0.00\);_(&quot;Rp&quot;* &quot;-&quot;??_);_(@_)"/>
    <numFmt numFmtId="238" formatCode="#,##0.00\ &quot;FB&quot;;[Red]\-#,##0.00\ &quot;FB&quot;"/>
    <numFmt numFmtId="239" formatCode="#,##0\ &quot;$&quot;;\-#,##0\ &quot;$&quot;"/>
    <numFmt numFmtId="240" formatCode="&quot;$&quot;#,##0;\-&quot;$&quot;#,##0"/>
    <numFmt numFmtId="241" formatCode="_-* #,##0\ _F_B_-;\-* #,##0\ _F_B_-;_-* &quot;-&quot;\ _F_B_-;_-@_-"/>
    <numFmt numFmtId="242" formatCode="#,##0_);\-#,##0_)"/>
    <numFmt numFmtId="243" formatCode="#,###;\-#,###;&quot;&quot;;_(@_)"/>
    <numFmt numFmtId="244" formatCode="#,##0\ &quot;$&quot;_);\(#,##0\ &quot;$&quot;\)"/>
    <numFmt numFmtId="245" formatCode="_-&quot;£&quot;* #,##0_-;\-&quot;£&quot;* #,##0_-;_-&quot;£&quot;* &quot;-&quot;_-;_-@_-"/>
    <numFmt numFmtId="246" formatCode="&quot;Fr.&quot;\ #,##0.00;[Red]&quot;Fr.&quot;\ \-#,##0.00"/>
    <numFmt numFmtId="247" formatCode="_ &quot;Fr.&quot;\ * #,##0_ ;_ &quot;Fr.&quot;\ * \-#,##0_ ;_ &quot;Fr.&quot;\ * &quot;-&quot;_ ;_ @_ "/>
    <numFmt numFmtId="248" formatCode="&quot;\&quot;#,##0;[Red]\-&quot;\&quot;#,##0"/>
    <numFmt numFmtId="249" formatCode="&quot;\&quot;#,##0.00;\-&quot;\&quot;#,##0.00"/>
    <numFmt numFmtId="250" formatCode="#,##0.00_);\-#,##0.00_)"/>
    <numFmt numFmtId="251" formatCode="#"/>
    <numFmt numFmtId="252" formatCode="&quot;¡Ì&quot;#,##0;[Red]\-&quot;¡Ì&quot;#,##0"/>
    <numFmt numFmtId="253" formatCode="#,##0.00\ &quot;F&quot;;[Red]\-#,##0.00\ &quot;F&quot;"/>
    <numFmt numFmtId="254" formatCode="&quot;£&quot;#,##0;[Red]\-&quot;£&quot;#,##0"/>
    <numFmt numFmtId="255" formatCode="#,##0.00\ \ "/>
    <numFmt numFmtId="256" formatCode="0.00000000000E+00;\?"/>
    <numFmt numFmtId="257" formatCode="_ * #,##0_ ;_ * \-#,##0_ ;_ * &quot;-&quot;??_ ;_ @_ "/>
    <numFmt numFmtId="258" formatCode="_(* #.##0.00_);_(* \(#.##0.00\);_(* &quot;-&quot;??_);_(@_)"/>
    <numFmt numFmtId="259" formatCode="#,##0.00\ \ \ \ "/>
    <numFmt numFmtId="260" formatCode="&quot;$&quot;#,##0;[Red]\-&quot;$&quot;#,##0"/>
    <numFmt numFmtId="261" formatCode="#,##0\ &quot;F&quot;;[Red]\-#,##0\ &quot;F&quot;"/>
    <numFmt numFmtId="262" formatCode="_ * #.##._ ;_ * \-#.##._ ;_ * &quot;-&quot;??_ ;_ @_ⴆ"/>
    <numFmt numFmtId="263" formatCode="_-* ###,0&quot;.&quot;00_-;\-* ###,0&quot;.&quot;00_-;_-* &quot;-&quot;??_-;_-@_-"/>
    <numFmt numFmtId="264" formatCode="_-* #,##0\ _F_-;\-* #,##0\ _F_-;_-* &quot;-&quot;??\ _F_-;_-@_-"/>
    <numFmt numFmtId="265" formatCode="_-&quot;$&quot;* ###,0&quot;.&quot;00_-;\-&quot;$&quot;* ###,0&quot;.&quot;00_-;_-&quot;$&quot;* &quot;-&quot;??_-;_-@_-"/>
    <numFmt numFmtId="266" formatCode="#,##0.00\ &quot;F&quot;;\-#,##0.00\ &quot;F&quot;"/>
    <numFmt numFmtId="267" formatCode="&quot;\&quot;#,##0;&quot;\&quot;&quot;\&quot;&quot;\&quot;&quot;\&quot;&quot;\&quot;&quot;\&quot;&quot;\&quot;\-#,##0"/>
    <numFmt numFmtId="268" formatCode="_-&quot;€&quot;* #,##0_-;\-&quot;€&quot;* #,##0_-;_-&quot;€&quot;* &quot;-&quot;_-;_-@_-"/>
    <numFmt numFmtId="269" formatCode="#,##0\ &quot;€&quot;;[Red]\-#,##0\ &quot;€&quot;"/>
    <numFmt numFmtId="270" formatCode="_-&quot;€&quot;* #,##0.00_-;\-&quot;€&quot;* #,##0.00_-;_-&quot;€&quot;* &quot;-&quot;??_-;_-@_-"/>
    <numFmt numFmtId="271" formatCode="_-* #,##0\ _₫_-;\-* #,##0\ _₫_-;_-* &quot;-&quot;??\ _₫_-;_-@_-"/>
    <numFmt numFmtId="272" formatCode="#,##0.0000000"/>
    <numFmt numFmtId="273" formatCode="#,##0.000"/>
    <numFmt numFmtId="274" formatCode="_(* #,##0.0_);_(* \(#,##0.0\);_(* &quot;-&quot;??_);_(@_)"/>
    <numFmt numFmtId="275" formatCode="_(* #,##0.000000_);_(* \(#,##0.000000\);_(* &quot;-&quot;??_);_(@_)"/>
  </numFmts>
  <fonts count="236">
    <font>
      <sz val="10"/>
      <name val="Arial"/>
      <family val="0"/>
    </font>
    <font>
      <b/>
      <sz val="10"/>
      <name val="Times New Roman"/>
      <family val="1"/>
    </font>
    <font>
      <sz val="10"/>
      <name val="Times New Roman"/>
      <family val="1"/>
    </font>
    <font>
      <sz val="9"/>
      <name val="Arial"/>
      <family val="2"/>
    </font>
    <font>
      <i/>
      <sz val="10"/>
      <name val="Times New Roman"/>
      <family val="1"/>
    </font>
    <font>
      <sz val="10"/>
      <color indexed="8"/>
      <name val="MS Sans Serif"/>
      <family val="2"/>
    </font>
    <font>
      <sz val="11"/>
      <color indexed="8"/>
      <name val="Calibri"/>
      <family val="2"/>
    </font>
    <font>
      <sz val="11"/>
      <color indexed="8"/>
      <name val="Arial"/>
      <family val="2"/>
    </font>
    <font>
      <sz val="10"/>
      <name val=".VnArial Narrow"/>
      <family val="2"/>
    </font>
    <font>
      <sz val="10"/>
      <name val="VNtimes new roman"/>
      <family val="1"/>
    </font>
    <font>
      <sz val="14"/>
      <name val=".VnTime"/>
      <family val="2"/>
    </font>
    <font>
      <b/>
      <sz val="9"/>
      <name val="Tahoma"/>
      <family val="2"/>
    </font>
    <font>
      <sz val="9"/>
      <name val="Tahoma"/>
      <family val="2"/>
    </font>
    <font>
      <b/>
      <sz val="8"/>
      <name val="Tahoma"/>
      <family val="2"/>
    </font>
    <font>
      <sz val="8"/>
      <name val="Tahoma"/>
      <family val="2"/>
    </font>
    <font>
      <b/>
      <sz val="10"/>
      <name val=".VnArial Narrow"/>
      <family val="2"/>
    </font>
    <font>
      <sz val="12"/>
      <name val="Times New Roman"/>
      <family val="1"/>
    </font>
    <font>
      <sz val="12"/>
      <name val=".VnTime"/>
      <family val="2"/>
    </font>
    <font>
      <sz val="12"/>
      <color indexed="8"/>
      <name val="Times New Roman"/>
      <family val="2"/>
    </font>
    <font>
      <sz val="10"/>
      <name val=".VnTime"/>
      <family val="2"/>
    </font>
    <font>
      <sz val="10"/>
      <color indexed="8"/>
      <name val="Arial"/>
      <family val="2"/>
    </font>
    <font>
      <b/>
      <sz val="11"/>
      <name val="Arial"/>
      <family val="2"/>
    </font>
    <font>
      <b/>
      <sz val="11"/>
      <name val="Times New Roman"/>
      <family val="1"/>
    </font>
    <font>
      <sz val="12"/>
      <name val="VNI-Times"/>
      <family val="0"/>
    </font>
    <font>
      <sz val="12"/>
      <name val="돋움체"/>
      <family val="3"/>
    </font>
    <font>
      <sz val="12"/>
      <name val="VNtimes new roman"/>
      <family val="2"/>
    </font>
    <font>
      <sz val="10"/>
      <name val="VNI-Times"/>
      <family val="0"/>
    </font>
    <font>
      <sz val="10"/>
      <name val="?? ??"/>
      <family val="1"/>
    </font>
    <font>
      <sz val="12"/>
      <name val=".VnArial"/>
      <family val="2"/>
    </font>
    <font>
      <sz val="10"/>
      <name val="??"/>
      <family val="3"/>
    </font>
    <font>
      <sz val="12"/>
      <name val="????"/>
      <family val="1"/>
    </font>
    <font>
      <sz val="12"/>
      <name val="Courier"/>
      <family val="3"/>
    </font>
    <font>
      <sz val="10"/>
      <name val="AngsanaUPC"/>
      <family val="1"/>
    </font>
    <font>
      <sz val="12"/>
      <name val="|??¢¥¢¬¨Ï"/>
      <family val="1"/>
    </font>
    <font>
      <sz val="10"/>
      <name val="Helv"/>
      <family val="2"/>
    </font>
    <font>
      <sz val="10"/>
      <name val="MS Sans Serif"/>
      <family val="2"/>
    </font>
    <font>
      <sz val="12"/>
      <name val="???"/>
      <family val="0"/>
    </font>
    <font>
      <sz val="11"/>
      <name val="‚l‚r ‚oƒSƒVƒbƒN"/>
      <family val="3"/>
    </font>
    <font>
      <sz val="11"/>
      <name val="–¾’©"/>
      <family val="1"/>
    </font>
    <font>
      <sz val="14"/>
      <name val="Terminal"/>
      <family val="3"/>
    </font>
    <font>
      <sz val="14"/>
      <name val="VnTime"/>
      <family val="0"/>
    </font>
    <font>
      <sz val="10"/>
      <name val=".VnArial"/>
      <family val="2"/>
    </font>
    <font>
      <b/>
      <u val="single"/>
      <sz val="14"/>
      <color indexed="8"/>
      <name val=".VnBook-AntiquaH"/>
      <family val="2"/>
    </font>
    <font>
      <sz val="11"/>
      <name val=".VnTime"/>
      <family val="2"/>
    </font>
    <font>
      <b/>
      <u val="single"/>
      <sz val="10"/>
      <name val="VNI-Times"/>
      <family val="0"/>
    </font>
    <font>
      <b/>
      <sz val="10"/>
      <name val=".VnArial"/>
      <family val="2"/>
    </font>
    <font>
      <sz val="10"/>
      <name val="VnTimes"/>
      <family val="0"/>
    </font>
    <font>
      <sz val="12"/>
      <color indexed="10"/>
      <name val=".VnArial Narrow"/>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I-Times"/>
      <family val="0"/>
    </font>
    <font>
      <sz val="12"/>
      <name val="¹UAAA¼"/>
      <family val="3"/>
    </font>
    <font>
      <sz val="11"/>
      <name val="VNI-Times"/>
      <family val="0"/>
    </font>
    <font>
      <sz val="8"/>
      <name val="Times New Roman"/>
      <family val="1"/>
    </font>
    <font>
      <b/>
      <sz val="12"/>
      <color indexed="63"/>
      <name val="VNI-Times"/>
      <family val="0"/>
    </font>
    <font>
      <sz val="12"/>
      <name val="¹ÙÅÁÃ¼"/>
      <family val="0"/>
    </font>
    <font>
      <sz val="12"/>
      <name val="Tms Rmn"/>
      <family val="0"/>
    </font>
    <font>
      <sz val="13"/>
      <name val=".VnTime"/>
      <family val="2"/>
    </font>
    <font>
      <sz val="11"/>
      <name val="µ¸¿ò"/>
      <family val="0"/>
    </font>
    <font>
      <sz val="10"/>
      <name val="±¼¸²A¼"/>
      <family val="3"/>
    </font>
    <font>
      <b/>
      <sz val="10"/>
      <name val="Helv"/>
      <family val="0"/>
    </font>
    <font>
      <sz val="11"/>
      <name val="Tms Rmn"/>
      <family val="0"/>
    </font>
    <font>
      <sz val="11"/>
      <name val="UVnTime"/>
      <family val="0"/>
    </font>
    <font>
      <b/>
      <sz val="12"/>
      <name val="VNTime"/>
      <family val="2"/>
    </font>
    <font>
      <sz val="10"/>
      <name val="MS Serif"/>
      <family val="1"/>
    </font>
    <font>
      <sz val="11"/>
      <name val="VNtimes new roman"/>
      <family val="2"/>
    </font>
    <font>
      <sz val="10"/>
      <name val="VNI-Aptima"/>
      <family val="0"/>
    </font>
    <font>
      <sz val="12"/>
      <name val="Arial"/>
      <family val="2"/>
    </font>
    <font>
      <b/>
      <sz val="12"/>
      <name val="VNTimeH"/>
      <family val="2"/>
    </font>
    <font>
      <sz val="10"/>
      <name val="Arial CE"/>
      <family val="0"/>
    </font>
    <font>
      <sz val="10"/>
      <color indexed="16"/>
      <name val="MS Serif"/>
      <family val="1"/>
    </font>
    <font>
      <sz val="10"/>
      <name val="VNI-Helve-Condense"/>
      <family val="0"/>
    </font>
    <font>
      <sz val="8"/>
      <name val="Arial"/>
      <family val="2"/>
    </font>
    <font>
      <sz val="12"/>
      <name val="VNTime"/>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8"/>
      <name val="MS Sans Serif"/>
      <family val="2"/>
    </font>
    <font>
      <b/>
      <sz val="10"/>
      <name val=".vntime"/>
      <family val="2"/>
    </font>
    <font>
      <b/>
      <sz val="14"/>
      <name val=".VnTimeH"/>
      <family val="2"/>
    </font>
    <font>
      <sz val="12"/>
      <name val="±¼¸²Ã¼"/>
      <family val="3"/>
    </font>
    <font>
      <u val="single"/>
      <sz val="10"/>
      <color indexed="12"/>
      <name val=".VnTime"/>
      <family val="2"/>
    </font>
    <font>
      <u val="single"/>
      <sz val="12"/>
      <color indexed="12"/>
      <name val=".VnTime"/>
      <family val="2"/>
    </font>
    <font>
      <u val="single"/>
      <sz val="12"/>
      <color indexed="12"/>
      <name val="Arial"/>
      <family val="2"/>
    </font>
    <font>
      <i/>
      <sz val="10"/>
      <name val=".VnTime"/>
      <family val="2"/>
    </font>
    <font>
      <sz val="8"/>
      <name val="VNarial"/>
      <family val="2"/>
    </font>
    <font>
      <b/>
      <sz val="11"/>
      <name val="Helv"/>
      <family val="0"/>
    </font>
    <font>
      <sz val="7"/>
      <name val="Small Fonts"/>
      <family val="2"/>
    </font>
    <font>
      <b/>
      <sz val="12"/>
      <name val="VN-NTime"/>
      <family val="0"/>
    </font>
    <font>
      <sz val="12"/>
      <name val="바탕체"/>
      <family val="1"/>
    </font>
    <font>
      <sz val="12"/>
      <name val="timesnewroman"/>
      <family val="0"/>
    </font>
    <font>
      <sz val="10"/>
      <color indexed="8"/>
      <name val="Times New Roman"/>
      <family val="2"/>
    </font>
    <font>
      <sz val="11"/>
      <color indexed="8"/>
      <name val="Helvetica Neue"/>
      <family val="0"/>
    </font>
    <font>
      <sz val="11"/>
      <name val="VNI-Aptima"/>
      <family val="0"/>
    </font>
    <font>
      <sz val="14"/>
      <name val=".VnArial Narrow"/>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amily val="0"/>
    </font>
    <font>
      <sz val="8"/>
      <name val="MS Sans Serif"/>
      <family val="2"/>
    </font>
    <font>
      <b/>
      <sz val="10.5"/>
      <name val=".VnAvantH"/>
      <family val="2"/>
    </font>
    <font>
      <sz val="10"/>
      <name val="VNbook-Antiqua"/>
      <family val="2"/>
    </font>
    <font>
      <sz val="11"/>
      <color indexed="32"/>
      <name val="VNI-Times"/>
      <family val="0"/>
    </font>
    <font>
      <b/>
      <sz val="8"/>
      <color indexed="8"/>
      <name val="Helv"/>
      <family val="0"/>
    </font>
    <font>
      <sz val="10"/>
      <name val="Symbol"/>
      <family val="1"/>
    </font>
    <font>
      <sz val="13"/>
      <name val=".VnArial"/>
      <family val="2"/>
    </font>
    <font>
      <b/>
      <sz val="10"/>
      <name val="VNI-Univer"/>
      <family val="0"/>
    </font>
    <font>
      <sz val="10"/>
      <name val=".VnBook-Antiqua"/>
      <family val="2"/>
    </font>
    <font>
      <b/>
      <u val="double"/>
      <sz val="12"/>
      <color indexed="12"/>
      <name val=".VnBahamasB"/>
      <family val="2"/>
    </font>
    <font>
      <b/>
      <i/>
      <u val="single"/>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b/>
      <sz val="12"/>
      <name val="VNI-Times"/>
      <family val="0"/>
    </font>
    <font>
      <sz val="12"/>
      <name val="VnTime"/>
      <family val="0"/>
    </font>
    <font>
      <sz val="11"/>
      <name val=".VnAvant"/>
      <family val="2"/>
    </font>
    <font>
      <b/>
      <sz val="13"/>
      <color indexed="8"/>
      <name val=".VnTimeH"/>
      <family val="2"/>
    </font>
    <font>
      <sz val="10"/>
      <name val=".VnAvant"/>
      <family val="2"/>
    </font>
    <font>
      <b/>
      <sz val="8"/>
      <name val="VN Helvetica"/>
      <family val="0"/>
    </font>
    <font>
      <sz val="9"/>
      <name val=".VnTime"/>
      <family val="2"/>
    </font>
    <font>
      <b/>
      <sz val="12"/>
      <name val=".vntime"/>
      <family val="2"/>
    </font>
    <font>
      <b/>
      <sz val="10"/>
      <name val="VN AvantGBook"/>
      <family val="0"/>
    </font>
    <font>
      <b/>
      <sz val="16"/>
      <name val=".VnTime"/>
      <family val="2"/>
    </font>
    <font>
      <sz val="10"/>
      <name val="Geneva"/>
      <family val="2"/>
    </font>
    <font>
      <sz val="14"/>
      <name val=".VnArial"/>
      <family val="2"/>
    </font>
    <font>
      <sz val="16"/>
      <name val="AngsanaUPC"/>
      <family val="3"/>
    </font>
    <font>
      <sz val="10"/>
      <name val=" "/>
      <family val="1"/>
    </font>
    <font>
      <sz val="14"/>
      <name val="뼻뮝"/>
      <family val="3"/>
    </font>
    <font>
      <sz val="12"/>
      <color indexed="8"/>
      <name val="바탕체"/>
      <family val="3"/>
    </font>
    <font>
      <sz val="12"/>
      <name val="뼻뮝"/>
      <family val="1"/>
    </font>
    <font>
      <sz val="10"/>
      <name val="명조"/>
      <family val="3"/>
    </font>
    <font>
      <sz val="10"/>
      <name val="돋움체"/>
      <family val="3"/>
    </font>
    <font>
      <b/>
      <sz val="10"/>
      <name val="Arial"/>
      <family val="2"/>
    </font>
    <font>
      <sz val="14"/>
      <name val="Times New Roman"/>
      <family val="1"/>
    </font>
    <font>
      <sz val="11"/>
      <name val="Arial"/>
      <family val="2"/>
    </font>
    <font>
      <sz val="13"/>
      <name val="Times New Roman"/>
      <family val="1"/>
    </font>
    <font>
      <b/>
      <sz val="14"/>
      <name val="Times New Roman"/>
      <family val="1"/>
    </font>
    <font>
      <i/>
      <sz val="14"/>
      <name val="Times New Roman"/>
      <family val="1"/>
    </font>
    <font>
      <sz val="11"/>
      <name val="Times New Roman"/>
      <family val="1"/>
    </font>
    <font>
      <vertAlign val="superscript"/>
      <sz val="14"/>
      <name val="Times New Roman"/>
      <family val="1"/>
    </font>
    <font>
      <sz val="16"/>
      <name val="Times New Roman"/>
      <family val="1"/>
    </font>
    <font>
      <i/>
      <sz val="16"/>
      <name val="Times New Roman"/>
      <family val="1"/>
    </font>
    <font>
      <b/>
      <sz val="16"/>
      <name val="Times New Roman"/>
      <family val="1"/>
    </font>
    <font>
      <b/>
      <sz val="18"/>
      <name val="Times New Roman"/>
      <family val="1"/>
    </font>
    <font>
      <b/>
      <i/>
      <sz val="18"/>
      <name val="Times New Roman"/>
      <family val="1"/>
    </font>
    <font>
      <b/>
      <i/>
      <sz val="14"/>
      <name val="Times New Roman"/>
      <family val="1"/>
    </font>
    <font>
      <sz val="11"/>
      <color indexed="14"/>
      <name val="Calibri"/>
      <family val="2"/>
    </font>
    <font>
      <sz val="11"/>
      <color indexed="12"/>
      <name val="Arial"/>
      <family val="2"/>
    </font>
    <font>
      <sz val="14"/>
      <color indexed="12"/>
      <name val="Times New Roman"/>
      <family val="1"/>
    </font>
    <font>
      <b/>
      <sz val="14"/>
      <color indexed="12"/>
      <name val="Times New Roman"/>
      <family val="1"/>
    </font>
    <font>
      <sz val="14"/>
      <color indexed="10"/>
      <name val="Times New Roman"/>
      <family val="1"/>
    </font>
    <font>
      <sz val="11"/>
      <color indexed="12"/>
      <name val="Times New Roman"/>
      <family val="1"/>
    </font>
    <font>
      <b/>
      <sz val="18"/>
      <color indexed="12"/>
      <name val="Times New Roman"/>
      <family val="1"/>
    </font>
    <font>
      <b/>
      <sz val="16"/>
      <color indexed="12"/>
      <name val="Times New Roman"/>
      <family val="1"/>
    </font>
    <font>
      <sz val="13"/>
      <color indexed="12"/>
      <name val="Times New Roman"/>
      <family val="1"/>
    </font>
    <font>
      <sz val="10"/>
      <color indexed="10"/>
      <name val="Times New Roman"/>
      <family val="1"/>
    </font>
    <font>
      <sz val="10"/>
      <color indexed="10"/>
      <name val=".VnArial Narrow"/>
      <family val="2"/>
    </font>
    <font>
      <b/>
      <sz val="10"/>
      <color indexed="10"/>
      <name val="Times New Roman"/>
      <family val="1"/>
    </font>
    <font>
      <b/>
      <i/>
      <sz val="10"/>
      <name val="Times New Roman"/>
      <family val="1"/>
    </font>
    <font>
      <sz val="9"/>
      <name val="Times New Roman"/>
      <family val="1"/>
    </font>
    <font>
      <sz val="10"/>
      <name val="Cambria"/>
      <family val="1"/>
    </font>
    <font>
      <b/>
      <u val="single"/>
      <sz val="14"/>
      <color indexed="12"/>
      <name val="Times New Roman"/>
      <family val="1"/>
    </font>
    <font>
      <u val="single"/>
      <sz val="13"/>
      <color indexed="12"/>
      <name val="Times New Roman"/>
      <family val="1"/>
    </font>
    <font>
      <u val="single"/>
      <sz val="11"/>
      <color indexed="12"/>
      <name val="Arial"/>
      <family val="2"/>
    </font>
    <font>
      <sz val="12"/>
      <color indexed="12"/>
      <name val="Times New Roman"/>
      <family val="1"/>
    </font>
    <font>
      <b/>
      <sz val="12"/>
      <color indexed="12"/>
      <name val="Times New Roman"/>
      <family val="1"/>
    </font>
    <font>
      <b/>
      <i/>
      <sz val="10"/>
      <name val=".VnArial Narrow"/>
      <family val="2"/>
    </font>
    <font>
      <i/>
      <sz val="10"/>
      <name val=".VnArial Narrow"/>
      <family val="2"/>
    </font>
    <font>
      <i/>
      <sz val="10"/>
      <name val="Cambria"/>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sz val="11"/>
      <color indexed="17"/>
      <name val="Calibri"/>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60"/>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Times New Roman"/>
      <family val="1"/>
    </font>
    <font>
      <b/>
      <sz val="10"/>
      <color indexed="10"/>
      <name val=".Vn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rgb="FF9C6500"/>
      <name val="Calibri"/>
      <family val="2"/>
    </font>
    <font>
      <sz val="11"/>
      <color theme="1"/>
      <name val="Calibri"/>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00"/>
      <name val="Times New Roman"/>
      <family val="1"/>
    </font>
    <font>
      <sz val="8"/>
      <color rgb="FFFF0000"/>
      <name val="Times New Roman"/>
      <family val="1"/>
    </font>
    <font>
      <sz val="10"/>
      <color rgb="FFFF0000"/>
      <name val=".VnArial Narrow"/>
      <family val="2"/>
    </font>
    <font>
      <b/>
      <sz val="10"/>
      <color rgb="FFFF0000"/>
      <name val="Times New Roman"/>
      <family val="1"/>
    </font>
    <font>
      <b/>
      <sz val="10"/>
      <color rgb="FFFF0000"/>
      <name val=".VnArial Narrow"/>
      <family val="2"/>
    </font>
    <font>
      <b/>
      <sz val="8"/>
      <name val="Arial"/>
      <family val="2"/>
    </font>
  </fonts>
  <fills count="5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right style="thin"/>
      <top style="thin"/>
      <bottom style="thin"/>
    </border>
    <border>
      <left style="thin"/>
      <right style="thin"/>
      <top style="double"/>
      <bottom style="hair"/>
    </border>
    <border>
      <left/>
      <right/>
      <top/>
      <bottom style="hair"/>
    </border>
    <border>
      <left/>
      <right/>
      <top style="double"/>
      <botto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right style="double"/>
      <top/>
      <bottom/>
    </border>
    <border>
      <left style="thin"/>
      <right style="thin"/>
      <top/>
      <bottom/>
    </border>
    <border>
      <left style="thin"/>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style="thin"/>
      <right style="thin"/>
      <top style="thin">
        <color indexed="8"/>
      </top>
      <bottom style="thin"/>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top style="thin"/>
      <bottom style="thin"/>
    </border>
    <border>
      <left style="thin"/>
      <right style="medium"/>
      <top style="medium"/>
      <bottom style="thin"/>
    </border>
    <border>
      <left/>
      <right style="medium">
        <color indexed="63"/>
      </right>
      <top/>
      <bottom/>
    </border>
    <border>
      <left style="thin"/>
      <right style="thin"/>
      <top style="thin"/>
      <bottom>
        <color indexed="63"/>
      </bottom>
    </border>
    <border>
      <left style="double"/>
      <right style="thin"/>
      <top style="double"/>
      <bottom/>
    </border>
    <border>
      <left style="double"/>
      <right style="thin"/>
      <top style="hair"/>
      <bottom style="double"/>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hair"/>
      <right/>
      <top/>
      <bottom/>
    </border>
    <border>
      <left style="medium"/>
      <right style="medium"/>
      <top style="medium"/>
      <bottom style="medium"/>
    </border>
    <border>
      <left style="thin"/>
      <right style="thin"/>
      <top style="medium"/>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style="dotted"/>
    </border>
    <border>
      <left style="thin"/>
      <right style="thin"/>
      <top style="hair"/>
      <bottom style="thin"/>
    </border>
    <border>
      <left>
        <color indexed="63"/>
      </left>
      <right style="thin"/>
      <top style="thin"/>
      <bottom style="thin"/>
    </border>
    <border>
      <left style="thin"/>
      <right>
        <color indexed="63"/>
      </right>
      <top style="hair"/>
      <bottom style="hair"/>
    </border>
    <border>
      <left style="thin"/>
      <right style="thin"/>
      <top style="hair"/>
      <bottom>
        <color indexed="63"/>
      </bottom>
    </border>
    <border>
      <left style="thin"/>
      <right/>
      <top style="thin"/>
      <bottom/>
    </border>
    <border>
      <left style="thin"/>
      <right/>
      <top/>
      <bottom style="thin"/>
    </border>
    <border>
      <left/>
      <right/>
      <top style="thin"/>
      <bottom/>
    </border>
    <border>
      <left/>
      <right style="thin"/>
      <top style="thin"/>
      <bottom/>
    </border>
    <border>
      <left/>
      <right style="thin"/>
      <top/>
      <bottom style="thin"/>
    </border>
  </borders>
  <cellStyleXfs count="25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23" fillId="0" borderId="0" applyFont="0" applyFill="0" applyBorder="0" applyAlignment="0" applyProtection="0"/>
    <xf numFmtId="0" fontId="17" fillId="0" borderId="0" applyNumberForma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3" fontId="24" fillId="0" borderId="1">
      <alignment/>
      <protection/>
    </xf>
    <xf numFmtId="3" fontId="24" fillId="0" borderId="1">
      <alignment/>
      <protection/>
    </xf>
    <xf numFmtId="172" fontId="25" fillId="0" borderId="2" applyFont="0" applyBorder="0">
      <alignment/>
      <protection/>
    </xf>
    <xf numFmtId="0" fontId="19" fillId="0" borderId="0">
      <alignment/>
      <protection/>
    </xf>
    <xf numFmtId="184" fontId="26" fillId="0" borderId="0" applyFont="0" applyFill="0" applyBorder="0" applyAlignment="0" applyProtection="0"/>
    <xf numFmtId="0" fontId="27" fillId="0" borderId="0" applyFont="0" applyFill="0" applyBorder="0" applyAlignment="0" applyProtection="0"/>
    <xf numFmtId="185" fontId="0" fillId="0" borderId="0" applyFont="0" applyFill="0" applyBorder="0" applyAlignment="0" applyProtection="0"/>
    <xf numFmtId="0" fontId="0" fillId="0" borderId="0" applyNumberFormat="0" applyFill="0" applyBorder="0" applyAlignment="0" applyProtection="0"/>
    <xf numFmtId="0" fontId="28" fillId="0" borderId="0" applyFont="0" applyFill="0" applyBorder="0" applyAlignment="0" applyProtection="0"/>
    <xf numFmtId="0" fontId="29" fillId="0" borderId="3">
      <alignment/>
      <protection/>
    </xf>
    <xf numFmtId="186" fontId="19" fillId="0" borderId="0" applyFont="0" applyFill="0" applyBorder="0" applyAlignment="0" applyProtection="0"/>
    <xf numFmtId="187" fontId="30" fillId="0" borderId="0" applyFont="0" applyFill="0" applyBorder="0" applyAlignment="0" applyProtection="0"/>
    <xf numFmtId="174" fontId="30" fillId="0" borderId="0" applyFont="0" applyFill="0" applyBorder="0" applyAlignment="0" applyProtection="0"/>
    <xf numFmtId="188" fontId="31" fillId="0" borderId="0" applyFont="0" applyFill="0" applyBorder="0" applyAlignment="0" applyProtection="0"/>
    <xf numFmtId="0" fontId="3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0" borderId="0">
      <alignment/>
      <protection/>
    </xf>
    <xf numFmtId="0" fontId="0" fillId="0" borderId="0" applyNumberFormat="0" applyFill="0" applyBorder="0" applyAlignment="0" applyProtection="0"/>
    <xf numFmtId="187" fontId="17"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42"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 fillId="0" borderId="0">
      <alignment/>
      <protection/>
    </xf>
    <xf numFmtId="190" fontId="17"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0" fontId="34" fillId="0" borderId="0">
      <alignment/>
      <protection/>
    </xf>
    <xf numFmtId="42" fontId="26" fillId="0" borderId="0" applyFont="0" applyFill="0" applyBorder="0" applyAlignment="0" applyProtection="0"/>
    <xf numFmtId="191" fontId="26" fillId="0" borderId="0" applyFont="0" applyFill="0" applyBorder="0" applyAlignment="0" applyProtection="0"/>
    <xf numFmtId="0" fontId="34" fillId="0" borderId="0">
      <alignment/>
      <protection/>
    </xf>
    <xf numFmtId="42" fontId="26" fillId="0" borderId="0" applyFont="0" applyFill="0" applyBorder="0" applyAlignment="0" applyProtection="0"/>
    <xf numFmtId="0" fontId="20" fillId="0" borderId="0">
      <alignment vertical="top"/>
      <protection/>
    </xf>
    <xf numFmtId="0" fontId="20" fillId="0" borderId="0">
      <alignment vertical="top"/>
      <protection/>
    </xf>
    <xf numFmtId="0" fontId="20" fillId="0" borderId="0">
      <alignment vertical="top"/>
      <protection/>
    </xf>
    <xf numFmtId="0" fontId="19" fillId="0" borderId="0" applyNumberFormat="0" applyFill="0" applyBorder="0" applyAlignment="0" applyProtection="0"/>
    <xf numFmtId="0" fontId="19" fillId="0" borderId="0" applyNumberForma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6" fillId="0" borderId="0" applyFont="0" applyFill="0" applyBorder="0" applyAlignment="0" applyProtection="0"/>
    <xf numFmtId="0" fontId="34" fillId="0" borderId="0">
      <alignment/>
      <protection/>
    </xf>
    <xf numFmtId="191" fontId="26" fillId="0" borderId="0" applyFont="0" applyFill="0" applyBorder="0" applyAlignment="0" applyProtection="0"/>
    <xf numFmtId="0" fontId="34"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lignment/>
      <protection/>
    </xf>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34"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lignment/>
      <protection/>
    </xf>
    <xf numFmtId="0" fontId="34" fillId="0" borderId="0">
      <alignment/>
      <protection/>
    </xf>
    <xf numFmtId="0" fontId="34" fillId="0" borderId="0">
      <alignment/>
      <protection/>
    </xf>
    <xf numFmtId="192" fontId="26"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0" fontId="34" fillId="0" borderId="0">
      <alignment/>
      <protection/>
    </xf>
    <xf numFmtId="191" fontId="26" fillId="0" borderId="0" applyFont="0" applyFill="0" applyBorder="0" applyAlignment="0" applyProtection="0"/>
    <xf numFmtId="0" fontId="34" fillId="0" borderId="0">
      <alignment/>
      <protection/>
    </xf>
    <xf numFmtId="189" fontId="23" fillId="0" borderId="0" applyFont="0" applyFill="0" applyBorder="0" applyAlignment="0" applyProtection="0"/>
    <xf numFmtId="42" fontId="26"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3" fontId="23" fillId="0" borderId="0" applyFont="0" applyFill="0" applyBorder="0" applyAlignment="0" applyProtection="0"/>
    <xf numFmtId="174" fontId="23"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94"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171"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87" fontId="23"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199"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94"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171"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74" fontId="23"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169"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199" fontId="26" fillId="0" borderId="0" applyFont="0" applyFill="0" applyBorder="0" applyAlignment="0" applyProtection="0"/>
    <xf numFmtId="187" fontId="23"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174" fontId="23"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169"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94"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171"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87"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3" fontId="23"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92" fontId="26"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lignment/>
      <protection/>
    </xf>
    <xf numFmtId="42" fontId="26" fillId="0" borderId="0" applyFont="0" applyFill="0" applyBorder="0" applyAlignment="0" applyProtection="0"/>
    <xf numFmtId="42" fontId="26" fillId="0" borderId="0" applyFont="0" applyFill="0" applyBorder="0" applyAlignment="0" applyProtection="0"/>
    <xf numFmtId="0" fontId="34" fillId="0" borderId="0">
      <alignment/>
      <protection/>
    </xf>
    <xf numFmtId="199"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7" fontId="23"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20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169"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200" fontId="26" fillId="0" borderId="0" applyFont="0" applyFill="0" applyBorder="0" applyAlignment="0" applyProtection="0"/>
    <xf numFmtId="190"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94"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4" fontId="26" fillId="0" borderId="0" applyFont="0" applyFill="0" applyBorder="0" applyAlignment="0" applyProtection="0"/>
    <xf numFmtId="171"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19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171" fontId="26" fillId="0" borderId="0" applyFont="0" applyFill="0" applyBorder="0" applyAlignment="0" applyProtection="0"/>
    <xf numFmtId="195"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95"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3" fontId="23" fillId="0" borderId="0" applyFont="0" applyFill="0" applyBorder="0" applyAlignment="0" applyProtection="0"/>
    <xf numFmtId="174" fontId="23"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6" fillId="0" borderId="0" applyFont="0" applyFill="0" applyBorder="0" applyAlignment="0" applyProtection="0"/>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0" fontId="20" fillId="0" borderId="0">
      <alignment vertical="top"/>
      <protection/>
    </xf>
    <xf numFmtId="192" fontId="26"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lignment/>
      <protection/>
    </xf>
    <xf numFmtId="191" fontId="26" fillId="0" borderId="0" applyFont="0" applyFill="0" applyBorder="0" applyAlignment="0" applyProtection="0"/>
    <xf numFmtId="0" fontId="34" fillId="0" borderId="0">
      <alignment/>
      <protection/>
    </xf>
    <xf numFmtId="42" fontId="26" fillId="0" borderId="0" applyFont="0" applyFill="0" applyBorder="0" applyAlignment="0" applyProtection="0"/>
    <xf numFmtId="204" fontId="36"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0" fontId="38" fillId="0" borderId="0">
      <alignment/>
      <protection/>
    </xf>
    <xf numFmtId="0" fontId="39" fillId="0" borderId="0">
      <alignment/>
      <protection/>
    </xf>
    <xf numFmtId="0" fontId="38" fillId="0" borderId="0">
      <alignment/>
      <protection/>
    </xf>
    <xf numFmtId="1" fontId="40" fillId="0" borderId="1" applyBorder="0" applyAlignment="0">
      <protection/>
    </xf>
    <xf numFmtId="1" fontId="40" fillId="0" borderId="1" applyBorder="0" applyAlignment="0">
      <protection/>
    </xf>
    <xf numFmtId="0" fontId="41" fillId="0" borderId="0">
      <alignment/>
      <protection/>
    </xf>
    <xf numFmtId="3" fontId="24" fillId="0" borderId="1">
      <alignment/>
      <protection/>
    </xf>
    <xf numFmtId="3" fontId="24" fillId="0" borderId="1">
      <alignment/>
      <protection/>
    </xf>
    <xf numFmtId="3" fontId="24" fillId="0" borderId="1">
      <alignment/>
      <protection/>
    </xf>
    <xf numFmtId="3" fontId="24" fillId="0" borderId="1">
      <alignment/>
      <protection/>
    </xf>
    <xf numFmtId="204" fontId="36" fillId="0" borderId="0" applyFont="0" applyFill="0" applyBorder="0" applyAlignment="0" applyProtection="0"/>
    <xf numFmtId="0" fontId="42" fillId="2" borderId="0">
      <alignment/>
      <protection/>
    </xf>
    <xf numFmtId="0" fontId="42" fillId="2" borderId="0">
      <alignment/>
      <protection/>
    </xf>
    <xf numFmtId="204" fontId="36" fillId="0" borderId="0" applyFont="0" applyFill="0" applyBorder="0" applyAlignment="0" applyProtection="0"/>
    <xf numFmtId="0" fontId="42"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204" fontId="36" fillId="0" borderId="0" applyFont="0" applyFill="0" applyBorder="0" applyAlignment="0" applyProtection="0"/>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4" fillId="0" borderId="0" applyFont="0" applyFill="0" applyBorder="0" applyAlignment="0">
      <protection/>
    </xf>
    <xf numFmtId="0" fontId="42" fillId="2" borderId="0">
      <alignment/>
      <protection/>
    </xf>
    <xf numFmtId="0" fontId="44" fillId="0" borderId="0" applyFont="0" applyFill="0" applyBorder="0" applyAlignment="0">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204" fontId="36" fillId="0" borderId="0" applyFont="0" applyFill="0" applyBorder="0" applyAlignment="0" applyProtection="0"/>
    <xf numFmtId="0" fontId="42" fillId="2" borderId="0">
      <alignment/>
      <protection/>
    </xf>
    <xf numFmtId="0" fontId="42" fillId="2" borderId="0">
      <alignment/>
      <protection/>
    </xf>
    <xf numFmtId="0" fontId="45" fillId="0" borderId="1" applyNumberFormat="0" applyFont="0" applyBorder="0">
      <alignment horizontal="left" indent="2"/>
      <protection/>
    </xf>
    <xf numFmtId="0" fontId="45" fillId="0" borderId="1" applyNumberFormat="0" applyFont="0" applyBorder="0">
      <alignment horizontal="left" indent="2"/>
      <protection/>
    </xf>
    <xf numFmtId="0" fontId="44" fillId="0" borderId="0" applyFont="0" applyFill="0" applyBorder="0" applyAlignment="0">
      <protection/>
    </xf>
    <xf numFmtId="0" fontId="44" fillId="0" borderId="0" applyFont="0" applyFill="0" applyBorder="0" applyAlignment="0">
      <protection/>
    </xf>
    <xf numFmtId="0" fontId="46" fillId="0" borderId="0">
      <alignment/>
      <protection/>
    </xf>
    <xf numFmtId="0" fontId="47" fillId="3" borderId="4" applyFont="0" applyFill="0" applyAlignment="0">
      <protection/>
    </xf>
    <xf numFmtId="9" fontId="48" fillId="0" borderId="0" applyBorder="0" applyAlignment="0" applyProtection="0"/>
    <xf numFmtId="0" fontId="49" fillId="2" borderId="0">
      <alignment/>
      <protection/>
    </xf>
    <xf numFmtId="0" fontId="49"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9" fillId="2" borderId="0">
      <alignment/>
      <protection/>
    </xf>
    <xf numFmtId="0" fontId="49" fillId="2" borderId="0">
      <alignment/>
      <protection/>
    </xf>
    <xf numFmtId="0" fontId="45" fillId="0" borderId="1" applyNumberFormat="0" applyFont="0" applyBorder="0" applyAlignment="0">
      <protection/>
    </xf>
    <xf numFmtId="0" fontId="45" fillId="0" borderId="1" applyNumberFormat="0" applyFont="0" applyBorder="0" applyAlignment="0">
      <protection/>
    </xf>
    <xf numFmtId="0" fontId="207" fillId="4" borderId="0" applyNumberFormat="0" applyBorder="0" applyAlignment="0" applyProtection="0"/>
    <xf numFmtId="0" fontId="207" fillId="5" borderId="0" applyNumberFormat="0" applyBorder="0" applyAlignment="0" applyProtection="0"/>
    <xf numFmtId="0" fontId="207" fillId="6" borderId="0" applyNumberFormat="0" applyBorder="0" applyAlignment="0" applyProtection="0"/>
    <xf numFmtId="0" fontId="207" fillId="7" borderId="0" applyNumberFormat="0" applyBorder="0" applyAlignment="0" applyProtection="0"/>
    <xf numFmtId="0" fontId="207" fillId="8" borderId="0" applyNumberFormat="0" applyBorder="0" applyAlignment="0" applyProtection="0"/>
    <xf numFmtId="0" fontId="207" fillId="9" borderId="0" applyNumberFormat="0" applyBorder="0" applyAlignment="0" applyProtection="0"/>
    <xf numFmtId="0" fontId="0" fillId="0" borderId="0">
      <alignment/>
      <protection/>
    </xf>
    <xf numFmtId="0" fontId="50" fillId="2" borderId="0">
      <alignment/>
      <protection/>
    </xf>
    <xf numFmtId="0" fontId="50"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50" fillId="2" borderId="0">
      <alignment/>
      <protection/>
    </xf>
    <xf numFmtId="0" fontId="51" fillId="0" borderId="0">
      <alignment wrapText="1"/>
      <protection/>
    </xf>
    <xf numFmtId="0" fontId="51"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43" fillId="0" borderId="0">
      <alignment wrapText="1"/>
      <protection/>
    </xf>
    <xf numFmtId="0" fontId="51" fillId="0" borderId="0">
      <alignment wrapText="1"/>
      <protection/>
    </xf>
    <xf numFmtId="0" fontId="207" fillId="10" borderId="0" applyNumberFormat="0" applyBorder="0" applyAlignment="0" applyProtection="0"/>
    <xf numFmtId="0" fontId="207" fillId="11" borderId="0" applyNumberFormat="0" applyBorder="0" applyAlignment="0" applyProtection="0"/>
    <xf numFmtId="0" fontId="207" fillId="12" borderId="0" applyNumberFormat="0" applyBorder="0" applyAlignment="0" applyProtection="0"/>
    <xf numFmtId="0" fontId="207" fillId="13" borderId="0" applyNumberFormat="0" applyBorder="0" applyAlignment="0" applyProtection="0"/>
    <xf numFmtId="0" fontId="207" fillId="14" borderId="0" applyNumberFormat="0" applyBorder="0" applyAlignment="0" applyProtection="0"/>
    <xf numFmtId="0" fontId="207" fillId="15" borderId="0" applyNumberFormat="0" applyBorder="0" applyAlignment="0" applyProtection="0"/>
    <xf numFmtId="172" fontId="52" fillId="0" borderId="5" applyNumberFormat="0" applyFont="0" applyBorder="0" applyAlignment="0">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08" fillId="16" borderId="0" applyNumberFormat="0" applyBorder="0" applyAlignment="0" applyProtection="0"/>
    <xf numFmtId="0" fontId="208" fillId="17" borderId="0" applyNumberFormat="0" applyBorder="0" applyAlignment="0" applyProtection="0"/>
    <xf numFmtId="0" fontId="208" fillId="12" borderId="0" applyNumberFormat="0" applyBorder="0" applyAlignment="0" applyProtection="0"/>
    <xf numFmtId="0" fontId="208" fillId="18" borderId="0" applyNumberFormat="0" applyBorder="0" applyAlignment="0" applyProtection="0"/>
    <xf numFmtId="0" fontId="208" fillId="19" borderId="0" applyNumberFormat="0" applyBorder="0" applyAlignment="0" applyProtection="0"/>
    <xf numFmtId="0" fontId="20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08" fillId="21" borderId="0" applyNumberFormat="0" applyBorder="0" applyAlignment="0" applyProtection="0"/>
    <xf numFmtId="0" fontId="208" fillId="22" borderId="0" applyNumberFormat="0" applyBorder="0" applyAlignment="0" applyProtection="0"/>
    <xf numFmtId="0" fontId="208" fillId="23" borderId="0" applyNumberFormat="0" applyBorder="0" applyAlignment="0" applyProtection="0"/>
    <xf numFmtId="0" fontId="208" fillId="24" borderId="0" applyNumberFormat="0" applyBorder="0" applyAlignment="0" applyProtection="0"/>
    <xf numFmtId="0" fontId="208" fillId="25" borderId="0" applyNumberFormat="0" applyBorder="0" applyAlignment="0" applyProtection="0"/>
    <xf numFmtId="0" fontId="208" fillId="26" borderId="0" applyNumberFormat="0" applyBorder="0" applyAlignment="0" applyProtection="0"/>
    <xf numFmtId="207" fontId="53" fillId="0" borderId="0" applyFont="0" applyFill="0" applyBorder="0" applyAlignment="0" applyProtection="0"/>
    <xf numFmtId="0" fontId="54" fillId="0" borderId="0" applyFont="0" applyFill="0" applyBorder="0" applyAlignment="0" applyProtection="0"/>
    <xf numFmtId="208" fontId="55" fillId="0" borderId="0" applyFont="0" applyFill="0" applyBorder="0" applyAlignment="0" applyProtection="0"/>
    <xf numFmtId="200" fontId="53" fillId="0" borderId="0" applyFont="0" applyFill="0" applyBorder="0" applyAlignment="0" applyProtection="0"/>
    <xf numFmtId="0" fontId="54" fillId="0" borderId="0" applyFont="0" applyFill="0" applyBorder="0" applyAlignment="0" applyProtection="0"/>
    <xf numFmtId="209" fontId="53" fillId="0" borderId="0" applyFont="0" applyFill="0" applyBorder="0" applyAlignment="0" applyProtection="0"/>
    <xf numFmtId="0" fontId="56" fillId="0" borderId="0">
      <alignment horizontal="center" wrapText="1"/>
      <protection locked="0"/>
    </xf>
    <xf numFmtId="0" fontId="57" fillId="0" borderId="0" applyNumberFormat="0" applyBorder="0" applyAlignment="0">
      <protection/>
    </xf>
    <xf numFmtId="210" fontId="58" fillId="0" borderId="0" applyFont="0" applyFill="0" applyBorder="0" applyAlignment="0" applyProtection="0"/>
    <xf numFmtId="0" fontId="54" fillId="0" borderId="0" applyFont="0" applyFill="0" applyBorder="0" applyAlignment="0" applyProtection="0"/>
    <xf numFmtId="211" fontId="26" fillId="0" borderId="0" applyFont="0" applyFill="0" applyBorder="0" applyAlignment="0" applyProtection="0"/>
    <xf numFmtId="212" fontId="58" fillId="0" borderId="0" applyFont="0" applyFill="0" applyBorder="0" applyAlignment="0" applyProtection="0"/>
    <xf numFmtId="0" fontId="54" fillId="0" borderId="0" applyFont="0" applyFill="0" applyBorder="0" applyAlignment="0" applyProtection="0"/>
    <xf numFmtId="213" fontId="26" fillId="0" borderId="0" applyFont="0" applyFill="0" applyBorder="0" applyAlignment="0" applyProtection="0"/>
    <xf numFmtId="189" fontId="23" fillId="0" borderId="0" applyFont="0" applyFill="0" applyBorder="0" applyAlignment="0" applyProtection="0"/>
    <xf numFmtId="0" fontId="209" fillId="27" borderId="0" applyNumberFormat="0" applyBorder="0" applyAlignment="0" applyProtection="0"/>
    <xf numFmtId="0" fontId="162" fillId="27" borderId="0" applyNumberFormat="0" applyBorder="0" applyAlignment="0" applyProtection="0"/>
    <xf numFmtId="0" fontId="16" fillId="0" borderId="0">
      <alignment/>
      <protection/>
    </xf>
    <xf numFmtId="0" fontId="59" fillId="0" borderId="0" applyNumberFormat="0" applyFill="0" applyBorder="0" applyAlignment="0" applyProtection="0"/>
    <xf numFmtId="0" fontId="54" fillId="0" borderId="0">
      <alignment/>
      <protection/>
    </xf>
    <xf numFmtId="0" fontId="60" fillId="0" borderId="0">
      <alignment/>
      <protection/>
    </xf>
    <xf numFmtId="0" fontId="2" fillId="0" borderId="0">
      <alignment/>
      <protection/>
    </xf>
    <xf numFmtId="0" fontId="54" fillId="0" borderId="0">
      <alignment/>
      <protection/>
    </xf>
    <xf numFmtId="0" fontId="61" fillId="0" borderId="0">
      <alignment/>
      <protection/>
    </xf>
    <xf numFmtId="0" fontId="62" fillId="0" borderId="0">
      <alignment/>
      <protection/>
    </xf>
    <xf numFmtId="0" fontId="58" fillId="0" borderId="0">
      <alignment/>
      <protection/>
    </xf>
    <xf numFmtId="214" fontId="35" fillId="0" borderId="0" applyFill="0" applyBorder="0" applyAlignment="0">
      <protection/>
    </xf>
    <xf numFmtId="176" fontId="34" fillId="0" borderId="0" applyFill="0" applyBorder="0" applyAlignment="0">
      <protection/>
    </xf>
    <xf numFmtId="215" fontId="0" fillId="0" borderId="0" applyFill="0" applyBorder="0" applyAlignment="0">
      <protection/>
    </xf>
    <xf numFmtId="216" fontId="0" fillId="0" borderId="0" applyFill="0" applyBorder="0" applyAlignment="0">
      <protection/>
    </xf>
    <xf numFmtId="217" fontId="0" fillId="0" borderId="0" applyFill="0" applyBorder="0" applyAlignment="0">
      <protection/>
    </xf>
    <xf numFmtId="218" fontId="34" fillId="0" borderId="0" applyFill="0" applyBorder="0" applyAlignment="0">
      <protection/>
    </xf>
    <xf numFmtId="219" fontId="34" fillId="0" borderId="0" applyFill="0" applyBorder="0" applyAlignment="0">
      <protection/>
    </xf>
    <xf numFmtId="176" fontId="34" fillId="0" borderId="0" applyFill="0" applyBorder="0" applyAlignment="0">
      <protection/>
    </xf>
    <xf numFmtId="0" fontId="210" fillId="28" borderId="6" applyNumberFormat="0" applyAlignment="0" applyProtection="0"/>
    <xf numFmtId="0" fontId="63" fillId="0" borderId="0">
      <alignment/>
      <protection/>
    </xf>
    <xf numFmtId="220" fontId="26" fillId="0" borderId="0" applyFont="0" applyFill="0" applyBorder="0" applyAlignment="0" applyProtection="0"/>
    <xf numFmtId="0" fontId="211" fillId="29" borderId="7" applyNumberFormat="0" applyAlignment="0" applyProtection="0"/>
    <xf numFmtId="172" fontId="41" fillId="0" borderId="0" applyFont="0" applyFill="0" applyBorder="0" applyAlignment="0" applyProtection="0"/>
    <xf numFmtId="1" fontId="69" fillId="0" borderId="8" applyBorder="0">
      <alignment/>
      <protection/>
    </xf>
    <xf numFmtId="171" fontId="0" fillId="0" borderId="0" applyFont="0" applyFill="0" applyBorder="0" applyAlignment="0" applyProtection="0"/>
    <xf numFmtId="221" fontId="64" fillId="0" borderId="0">
      <alignment/>
      <protection/>
    </xf>
    <xf numFmtId="221" fontId="64" fillId="0" borderId="0">
      <alignment/>
      <protection/>
    </xf>
    <xf numFmtId="221" fontId="64" fillId="0" borderId="0">
      <alignment/>
      <protection/>
    </xf>
    <xf numFmtId="221" fontId="64" fillId="0" borderId="0">
      <alignment/>
      <protection/>
    </xf>
    <xf numFmtId="221" fontId="64" fillId="0" borderId="0">
      <alignment/>
      <protection/>
    </xf>
    <xf numFmtId="221" fontId="64" fillId="0" borderId="0">
      <alignment/>
      <protection/>
    </xf>
    <xf numFmtId="221" fontId="64" fillId="0" borderId="0">
      <alignment/>
      <protection/>
    </xf>
    <xf numFmtId="221" fontId="64" fillId="0" borderId="0">
      <alignment/>
      <protection/>
    </xf>
    <xf numFmtId="169" fontId="0" fillId="0" borderId="0" applyFont="0" applyFill="0" applyBorder="0" applyAlignment="0" applyProtection="0"/>
    <xf numFmtId="187" fontId="1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3" fillId="0" borderId="0" applyFont="0" applyFill="0" applyBorder="0" applyAlignment="0" applyProtection="0"/>
    <xf numFmtId="186" fontId="3" fillId="0" borderId="0" applyFont="0" applyFill="0" applyBorder="0" applyAlignment="0" applyProtection="0"/>
    <xf numFmtId="184" fontId="3" fillId="0" borderId="0" applyFont="0" applyFill="0" applyBorder="0" applyAlignment="0" applyProtection="0"/>
    <xf numFmtId="169" fontId="7" fillId="0" borderId="0" applyFont="0" applyFill="0" applyBorder="0" applyAlignment="0" applyProtection="0"/>
    <xf numFmtId="41" fontId="16" fillId="0" borderId="0" applyFont="0" applyFill="0" applyBorder="0" applyAlignment="0" applyProtection="0"/>
    <xf numFmtId="218" fontId="34"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43" fontId="65"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222"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222" fontId="0" fillId="0" borderId="0" applyFont="0" applyFill="0" applyBorder="0" applyAlignment="0" applyProtection="0"/>
    <xf numFmtId="206"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4"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43" fontId="0" fillId="0" borderId="0" applyFont="0" applyFill="0" applyBorder="0" applyAlignment="0" applyProtection="0"/>
    <xf numFmtId="187"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74" fontId="1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223" fontId="16" fillId="0" borderId="0" applyFont="0" applyFill="0" applyBorder="0" applyAlignment="0" applyProtection="0"/>
    <xf numFmtId="224" fontId="1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4"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3"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2" fontId="6" fillId="0" borderId="0" applyFont="0" applyFill="0" applyBorder="0" applyAlignment="0" applyProtection="0"/>
    <xf numFmtId="174" fontId="6" fillId="0" borderId="0" applyFont="0" applyFill="0" applyBorder="0" applyAlignment="0" applyProtection="0"/>
    <xf numFmtId="225" fontId="2" fillId="0" borderId="0">
      <alignment/>
      <protection/>
    </xf>
    <xf numFmtId="3" fontId="0" fillId="0" borderId="0" applyFont="0" applyFill="0" applyBorder="0" applyAlignment="0" applyProtection="0"/>
    <xf numFmtId="0" fontId="66" fillId="0" borderId="0">
      <alignment horizontal="center"/>
      <protection/>
    </xf>
    <xf numFmtId="0" fontId="67" fillId="0" borderId="0" applyNumberFormat="0" applyAlignment="0">
      <protection/>
    </xf>
    <xf numFmtId="193" fontId="68" fillId="0" borderId="0" applyFont="0" applyFill="0" applyBorder="0" applyAlignment="0" applyProtection="0"/>
    <xf numFmtId="226" fontId="60" fillId="0" borderId="0" applyFont="0" applyFill="0" applyBorder="0" applyAlignment="0" applyProtection="0"/>
    <xf numFmtId="227" fontId="3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28" fontId="36" fillId="0" borderId="0" applyFont="0" applyFill="0" applyBorder="0" applyAlignment="0" applyProtection="0"/>
    <xf numFmtId="176" fontId="34" fillId="0" borderId="0" applyFont="0" applyFill="0" applyBorder="0" applyAlignment="0" applyProtection="0"/>
    <xf numFmtId="44" fontId="6" fillId="0" borderId="0" applyFont="0" applyFill="0" applyBorder="0" applyAlignment="0" applyProtection="0"/>
    <xf numFmtId="170"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9" fontId="0" fillId="0" borderId="0" applyFont="0" applyFill="0" applyBorder="0" applyAlignment="0" applyProtection="0"/>
    <xf numFmtId="230" fontId="0" fillId="0" borderId="0" applyFont="0" applyFill="0" applyBorder="0" applyAlignment="0" applyProtection="0"/>
    <xf numFmtId="231" fontId="0" fillId="0" borderId="0">
      <alignment/>
      <protection/>
    </xf>
    <xf numFmtId="182" fontId="17" fillId="0" borderId="9">
      <alignment/>
      <protection/>
    </xf>
    <xf numFmtId="0" fontId="0" fillId="0" borderId="0" applyFont="0" applyFill="0" applyBorder="0" applyAlignment="0" applyProtection="0"/>
    <xf numFmtId="14" fontId="20" fillId="0" borderId="0" applyFill="0" applyBorder="0" applyAlignment="0">
      <protection/>
    </xf>
    <xf numFmtId="0" fontId="70" fillId="0" borderId="0" applyProtection="0">
      <alignment/>
    </xf>
    <xf numFmtId="43" fontId="16" fillId="0" borderId="0" applyFont="0" applyFill="0" applyBorder="0" applyAlignment="0" applyProtection="0"/>
    <xf numFmtId="3" fontId="71" fillId="0" borderId="10">
      <alignment horizontal="left" vertical="top" wrapText="1"/>
      <protection/>
    </xf>
    <xf numFmtId="0" fontId="0" fillId="0" borderId="0" applyFont="0" applyFill="0" applyBorder="0" applyAlignment="0" applyProtection="0"/>
    <xf numFmtId="0" fontId="0" fillId="0" borderId="0" applyFont="0" applyFill="0" applyBorder="0" applyAlignment="0" applyProtection="0"/>
    <xf numFmtId="232" fontId="17" fillId="0" borderId="0">
      <alignment/>
      <protection/>
    </xf>
    <xf numFmtId="233" fontId="19" fillId="0" borderId="1">
      <alignment/>
      <protection/>
    </xf>
    <xf numFmtId="233" fontId="19" fillId="0" borderId="1">
      <alignment/>
      <protection/>
    </xf>
    <xf numFmtId="234" fontId="0" fillId="0" borderId="0">
      <alignment/>
      <protection/>
    </xf>
    <xf numFmtId="235" fontId="19" fillId="0" borderId="0">
      <alignment/>
      <protection/>
    </xf>
    <xf numFmtId="187" fontId="72" fillId="0" borderId="0" applyFont="0" applyFill="0" applyBorder="0" applyAlignment="0" applyProtection="0"/>
    <xf numFmtId="174" fontId="72" fillId="0" borderId="0" applyFont="0" applyFill="0" applyBorder="0" applyAlignment="0" applyProtection="0"/>
    <xf numFmtId="187" fontId="72" fillId="0" borderId="0" applyFont="0" applyFill="0" applyBorder="0" applyAlignment="0" applyProtection="0"/>
    <xf numFmtId="41" fontId="72"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187" fontId="72" fillId="0" borderId="0" applyFont="0" applyFill="0" applyBorder="0" applyAlignment="0" applyProtection="0"/>
    <xf numFmtId="187" fontId="72"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17" fillId="0" borderId="0" applyFont="0" applyFill="0" applyBorder="0" applyAlignment="0" applyProtection="0"/>
    <xf numFmtId="238" fontId="17"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1" fontId="72" fillId="0" borderId="0" applyFont="0" applyFill="0" applyBorder="0" applyAlignment="0" applyProtection="0"/>
    <xf numFmtId="187" fontId="72" fillId="0" borderId="0" applyFont="0" applyFill="0" applyBorder="0" applyAlignment="0" applyProtection="0"/>
    <xf numFmtId="41" fontId="72" fillId="0" borderId="0" applyFont="0" applyFill="0" applyBorder="0" applyAlignment="0" applyProtection="0"/>
    <xf numFmtId="187" fontId="72" fillId="0" borderId="0" applyFont="0" applyFill="0" applyBorder="0" applyAlignment="0" applyProtection="0"/>
    <xf numFmtId="41" fontId="72" fillId="0" borderId="0" applyFont="0" applyFill="0" applyBorder="0" applyAlignment="0" applyProtection="0"/>
    <xf numFmtId="41" fontId="72"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41" fontId="72" fillId="0" borderId="0" applyFont="0" applyFill="0" applyBorder="0" applyAlignment="0" applyProtection="0"/>
    <xf numFmtId="174" fontId="72" fillId="0" borderId="0" applyFont="0" applyFill="0" applyBorder="0" applyAlignment="0" applyProtection="0"/>
    <xf numFmtId="43" fontId="72"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174" fontId="72" fillId="0" borderId="0" applyFont="0" applyFill="0" applyBorder="0" applyAlignment="0" applyProtection="0"/>
    <xf numFmtId="174" fontId="72"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0"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41" fontId="17"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174" fontId="72" fillId="0" borderId="0" applyFont="0" applyFill="0" applyBorder="0" applyAlignment="0" applyProtection="0"/>
    <xf numFmtId="43" fontId="72" fillId="0" borderId="0" applyFont="0" applyFill="0" applyBorder="0" applyAlignment="0" applyProtection="0"/>
    <xf numFmtId="174"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71" fontId="72" fillId="0" borderId="0" applyFont="0" applyFill="0" applyBorder="0" applyAlignment="0" applyProtection="0"/>
    <xf numFmtId="171" fontId="72" fillId="0" borderId="0" applyFont="0" applyFill="0" applyBorder="0" applyAlignment="0" applyProtection="0"/>
    <xf numFmtId="43" fontId="72" fillId="0" borderId="0" applyFont="0" applyFill="0" applyBorder="0" applyAlignment="0" applyProtection="0"/>
    <xf numFmtId="3" fontId="17" fillId="0" borderId="0" applyFont="0" applyBorder="0" applyAlignment="0">
      <protection/>
    </xf>
    <xf numFmtId="0" fontId="0" fillId="0" borderId="0" applyFill="0" applyBorder="0" applyAlignment="0">
      <protection/>
    </xf>
    <xf numFmtId="176" fontId="34" fillId="0" borderId="0" applyFill="0" applyBorder="0" applyAlignment="0">
      <protection/>
    </xf>
    <xf numFmtId="218" fontId="34" fillId="0" borderId="0" applyFill="0" applyBorder="0" applyAlignment="0">
      <protection/>
    </xf>
    <xf numFmtId="219" fontId="34" fillId="0" borderId="0" applyFill="0" applyBorder="0" applyAlignment="0">
      <protection/>
    </xf>
    <xf numFmtId="176" fontId="34" fillId="0" borderId="0" applyFill="0" applyBorder="0" applyAlignment="0">
      <protection/>
    </xf>
    <xf numFmtId="0" fontId="73" fillId="0" borderId="0" applyNumberFormat="0" applyAlignment="0">
      <protection/>
    </xf>
    <xf numFmtId="0" fontId="74" fillId="0" borderId="0">
      <alignment/>
      <protection/>
    </xf>
    <xf numFmtId="0" fontId="212" fillId="0" borderId="0" applyNumberFormat="0" applyFill="0" applyBorder="0" applyAlignment="0" applyProtection="0"/>
    <xf numFmtId="3" fontId="17" fillId="0" borderId="0" applyFont="0" applyBorder="0" applyAlignment="0">
      <protection/>
    </xf>
    <xf numFmtId="0" fontId="0" fillId="0" borderId="0">
      <alignment/>
      <protection/>
    </xf>
    <xf numFmtId="0" fontId="0" fillId="0" borderId="0">
      <alignment/>
      <protection/>
    </xf>
    <xf numFmtId="0" fontId="0" fillId="0" borderId="0">
      <alignment/>
      <protection/>
    </xf>
    <xf numFmtId="2" fontId="0" fillId="0" borderId="0" applyFont="0" applyFill="0" applyBorder="0" applyAlignment="0" applyProtection="0"/>
    <xf numFmtId="0" fontId="213" fillId="0" borderId="0" applyNumberFormat="0" applyFill="0" applyBorder="0" applyAlignment="0" applyProtection="0"/>
    <xf numFmtId="0" fontId="76" fillId="0" borderId="0">
      <alignment vertical="top" wrapText="1"/>
      <protection/>
    </xf>
    <xf numFmtId="0" fontId="214" fillId="30" borderId="0" applyNumberFormat="0" applyBorder="0" applyAlignment="0" applyProtection="0"/>
    <xf numFmtId="0" fontId="215" fillId="30" borderId="0" applyNumberFormat="0" applyBorder="0" applyAlignment="0" applyProtection="0"/>
    <xf numFmtId="38" fontId="75" fillId="2" borderId="0" applyNumberFormat="0" applyBorder="0" applyAlignment="0" applyProtection="0"/>
    <xf numFmtId="242" fontId="22" fillId="2" borderId="0" applyBorder="0" applyProtection="0">
      <alignment/>
    </xf>
    <xf numFmtId="0" fontId="77" fillId="0" borderId="11" applyNumberFormat="0" applyFill="0" applyBorder="0" applyAlignment="0" applyProtection="0"/>
    <xf numFmtId="0" fontId="78" fillId="0" borderId="0" applyNumberFormat="0" applyFont="0" applyBorder="0" applyAlignment="0">
      <protection/>
    </xf>
    <xf numFmtId="243" fontId="60" fillId="0" borderId="0" applyFont="0" applyFill="0" applyBorder="0" applyAlignment="0" applyProtection="0"/>
    <xf numFmtId="0" fontId="79" fillId="31" borderId="0">
      <alignment/>
      <protection/>
    </xf>
    <xf numFmtId="0" fontId="80" fillId="0" borderId="0">
      <alignment horizontal="left"/>
      <protection/>
    </xf>
    <xf numFmtId="0" fontId="81" fillId="0" borderId="12" applyNumberFormat="0" applyAlignment="0" applyProtection="0"/>
    <xf numFmtId="0" fontId="81" fillId="0" borderId="12" applyNumberFormat="0" applyAlignment="0" applyProtection="0"/>
    <xf numFmtId="0" fontId="81" fillId="0" borderId="13">
      <alignment horizontal="left" vertical="center"/>
      <protection/>
    </xf>
    <xf numFmtId="0" fontId="81" fillId="0" borderId="13">
      <alignment horizontal="left" vertical="center"/>
      <protection/>
    </xf>
    <xf numFmtId="0" fontId="216" fillId="0" borderId="14" applyNumberFormat="0" applyFill="0" applyAlignment="0" applyProtection="0"/>
    <xf numFmtId="0" fontId="217" fillId="0" borderId="15" applyNumberFormat="0" applyFill="0" applyAlignment="0" applyProtection="0"/>
    <xf numFmtId="0" fontId="218" fillId="0" borderId="16" applyNumberFormat="0" applyFill="0" applyAlignment="0" applyProtection="0"/>
    <xf numFmtId="0" fontId="218" fillId="0" borderId="0" applyNumberFormat="0" applyFill="0" applyBorder="0" applyAlignment="0" applyProtection="0"/>
    <xf numFmtId="0" fontId="82" fillId="0" borderId="0" applyProtection="0">
      <alignment/>
    </xf>
    <xf numFmtId="0" fontId="81" fillId="0" borderId="0" applyProtection="0">
      <alignment/>
    </xf>
    <xf numFmtId="0" fontId="83" fillId="0" borderId="17">
      <alignment horizontal="center"/>
      <protection/>
    </xf>
    <xf numFmtId="0" fontId="83" fillId="0" borderId="0">
      <alignment horizontal="center"/>
      <protection/>
    </xf>
    <xf numFmtId="5" fontId="84" fillId="32" borderId="1" applyNumberFormat="0" applyAlignment="0">
      <protection/>
    </xf>
    <xf numFmtId="5" fontId="84" fillId="32" borderId="1" applyNumberFormat="0" applyAlignment="0">
      <protection/>
    </xf>
    <xf numFmtId="49" fontId="85" fillId="0" borderId="1">
      <alignment vertical="center"/>
      <protection/>
    </xf>
    <xf numFmtId="49" fontId="85" fillId="0" borderId="1">
      <alignment vertical="center"/>
      <protection/>
    </xf>
    <xf numFmtId="0" fontId="2" fillId="0" borderId="0">
      <alignment/>
      <protection/>
    </xf>
    <xf numFmtId="0" fontId="219" fillId="0" borderId="0" applyNumberFormat="0" applyFill="0" applyBorder="0" applyAlignment="0" applyProtection="0"/>
    <xf numFmtId="187" fontId="17" fillId="0" borderId="0" applyFont="0" applyFill="0" applyBorder="0" applyAlignment="0" applyProtection="0"/>
    <xf numFmtId="38" fontId="35" fillId="0" borderId="0" applyFont="0" applyFill="0" applyBorder="0" applyAlignment="0" applyProtection="0"/>
    <xf numFmtId="41" fontId="26" fillId="0" borderId="0" applyFont="0" applyFill="0" applyBorder="0" applyAlignment="0" applyProtection="0"/>
    <xf numFmtId="244" fontId="86" fillId="0" borderId="0" applyFont="0" applyFill="0" applyBorder="0" applyAlignment="0" applyProtection="0"/>
    <xf numFmtId="0" fontId="220" fillId="33" borderId="6" applyNumberFormat="0" applyAlignment="0" applyProtection="0"/>
    <xf numFmtId="10" fontId="75" fillId="34" borderId="1" applyNumberFormat="0" applyBorder="0" applyAlignment="0" applyProtection="0"/>
    <xf numFmtId="10" fontId="75" fillId="34" borderId="1"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87" fontId="17" fillId="0" borderId="0" applyFont="0" applyFill="0" applyBorder="0" applyAlignment="0" applyProtection="0"/>
    <xf numFmtId="0" fontId="17" fillId="0" borderId="0">
      <alignment/>
      <protection/>
    </xf>
    <xf numFmtId="0" fontId="56" fillId="0" borderId="18">
      <alignment horizontal="centerContinuous"/>
      <protection/>
    </xf>
    <xf numFmtId="0" fontId="5" fillId="0" borderId="0">
      <alignment/>
      <protection/>
    </xf>
    <xf numFmtId="0" fontId="35" fillId="0" borderId="0">
      <alignment/>
      <protection/>
    </xf>
    <xf numFmtId="0" fontId="2" fillId="0" borderId="0" applyNumberFormat="0" applyFont="0" applyFill="0" applyBorder="0" applyProtection="0">
      <alignment horizontal="left" vertical="center"/>
    </xf>
    <xf numFmtId="0" fontId="35" fillId="0" borderId="0">
      <alignment/>
      <protection/>
    </xf>
    <xf numFmtId="0" fontId="0" fillId="0" borderId="0" applyFill="0" applyBorder="0" applyAlignment="0">
      <protection/>
    </xf>
    <xf numFmtId="176" fontId="34" fillId="0" borderId="0" applyFill="0" applyBorder="0" applyAlignment="0">
      <protection/>
    </xf>
    <xf numFmtId="218" fontId="34" fillId="0" borderId="0" applyFill="0" applyBorder="0" applyAlignment="0">
      <protection/>
    </xf>
    <xf numFmtId="219" fontId="34" fillId="0" borderId="0" applyFill="0" applyBorder="0" applyAlignment="0">
      <protection/>
    </xf>
    <xf numFmtId="176" fontId="34" fillId="0" borderId="0" applyFill="0" applyBorder="0" applyAlignment="0">
      <protection/>
    </xf>
    <xf numFmtId="0" fontId="221" fillId="0" borderId="19" applyNumberFormat="0" applyFill="0" applyAlignment="0" applyProtection="0"/>
    <xf numFmtId="3" fontId="90" fillId="0" borderId="10" applyNumberFormat="0" applyAlignment="0">
      <protection/>
    </xf>
    <xf numFmtId="3" fontId="45" fillId="0" borderId="10" applyNumberFormat="0" applyAlignment="0">
      <protection/>
    </xf>
    <xf numFmtId="3" fontId="84" fillId="0" borderId="10" applyNumberFormat="0" applyAlignment="0">
      <protection/>
    </xf>
    <xf numFmtId="182" fontId="91" fillId="0" borderId="20" applyNumberFormat="0" applyFont="0" applyFill="0" applyBorder="0">
      <alignment horizontal="center"/>
      <protection/>
    </xf>
    <xf numFmtId="182" fontId="91" fillId="0" borderId="20" applyNumberFormat="0" applyFont="0" applyFill="0" applyBorder="0">
      <alignment horizontal="center"/>
      <protection/>
    </xf>
    <xf numFmtId="38" fontId="35" fillId="0" borderId="0" applyFont="0" applyFill="0" applyBorder="0" applyAlignment="0" applyProtection="0"/>
    <xf numFmtId="40" fontId="35" fillId="0" borderId="0" applyFont="0" applyFill="0" applyBorder="0" applyAlignment="0" applyProtection="0"/>
    <xf numFmtId="187" fontId="0" fillId="0" borderId="0" applyFont="0" applyFill="0" applyBorder="0" applyAlignment="0" applyProtection="0"/>
    <xf numFmtId="174" fontId="0" fillId="0" borderId="0" applyFont="0" applyFill="0" applyBorder="0" applyAlignment="0" applyProtection="0"/>
    <xf numFmtId="0" fontId="92" fillId="0" borderId="17">
      <alignment/>
      <protection/>
    </xf>
    <xf numFmtId="245" fontId="0" fillId="0" borderId="20">
      <alignment/>
      <protection/>
    </xf>
    <xf numFmtId="245" fontId="0" fillId="0" borderId="20">
      <alignment/>
      <protection/>
    </xf>
    <xf numFmtId="246" fontId="10" fillId="0" borderId="0" applyFont="0" applyFill="0" applyBorder="0" applyAlignment="0" applyProtection="0"/>
    <xf numFmtId="247" fontId="10" fillId="0" borderId="0" applyFont="0" applyFill="0" applyBorder="0" applyAlignment="0" applyProtection="0"/>
    <xf numFmtId="248" fontId="0" fillId="0" borderId="0" applyFont="0" applyFill="0" applyBorder="0" applyAlignment="0" applyProtection="0"/>
    <xf numFmtId="249" fontId="0" fillId="0" borderId="0" applyFont="0" applyFill="0" applyBorder="0" applyAlignment="0" applyProtection="0"/>
    <xf numFmtId="0" fontId="70" fillId="0" borderId="0" applyNumberFormat="0" applyFont="0" applyFill="0" applyAlignment="0">
      <protection/>
    </xf>
    <xf numFmtId="0" fontId="222" fillId="35" borderId="0" applyNumberFormat="0" applyBorder="0" applyAlignment="0" applyProtection="0"/>
    <xf numFmtId="0" fontId="223" fillId="35" borderId="0" applyNumberFormat="0" applyBorder="0" applyAlignment="0" applyProtection="0"/>
    <xf numFmtId="0" fontId="2" fillId="0" borderId="0">
      <alignment/>
      <protection/>
    </xf>
    <xf numFmtId="0" fontId="19" fillId="0" borderId="21" applyNumberFormat="0" applyAlignment="0">
      <protection/>
    </xf>
    <xf numFmtId="37" fontId="93" fillId="0" borderId="0">
      <alignment/>
      <protection/>
    </xf>
    <xf numFmtId="0" fontId="94" fillId="0" borderId="1" applyNumberFormat="0" applyFont="0" applyFill="0" applyBorder="0" applyAlignment="0">
      <protection/>
    </xf>
    <xf numFmtId="0" fontId="94" fillId="0" borderId="1" applyNumberFormat="0" applyFont="0" applyFill="0" applyBorder="0" applyAlignment="0">
      <protection/>
    </xf>
    <xf numFmtId="173" fontId="9" fillId="0" borderId="0">
      <alignment/>
      <protection/>
    </xf>
    <xf numFmtId="0" fontId="0" fillId="0" borderId="0">
      <alignment/>
      <protection/>
    </xf>
    <xf numFmtId="173" fontId="9" fillId="0" borderId="0">
      <alignment/>
      <protection/>
    </xf>
    <xf numFmtId="0" fontId="95" fillId="0" borderId="0">
      <alignment/>
      <protection/>
    </xf>
    <xf numFmtId="0" fontId="0" fillId="0" borderId="0">
      <alignment/>
      <protection/>
    </xf>
    <xf numFmtId="0" fontId="224" fillId="0" borderId="0">
      <alignment/>
      <protection/>
    </xf>
    <xf numFmtId="0" fontId="224"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6" fillId="0" borderId="0">
      <alignment/>
      <protection/>
    </xf>
    <xf numFmtId="0" fontId="0"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225"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6" fillId="0" borderId="0">
      <alignment/>
      <protection/>
    </xf>
    <xf numFmtId="0" fontId="225" fillId="0" borderId="0">
      <alignment/>
      <protection/>
    </xf>
    <xf numFmtId="0" fontId="225" fillId="0" borderId="0">
      <alignment/>
      <protection/>
    </xf>
    <xf numFmtId="0" fontId="225" fillId="0" borderId="0">
      <alignment/>
      <protection/>
    </xf>
    <xf numFmtId="0" fontId="224" fillId="0" borderId="0">
      <alignment/>
      <protection/>
    </xf>
    <xf numFmtId="0" fontId="7" fillId="0" borderId="0">
      <alignment/>
      <protection/>
    </xf>
    <xf numFmtId="0" fontId="225" fillId="0" borderId="0">
      <alignment/>
      <protection/>
    </xf>
    <xf numFmtId="0" fontId="22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25" fillId="0" borderId="0">
      <alignment/>
      <protection/>
    </xf>
    <xf numFmtId="0" fontId="225" fillId="0" borderId="0">
      <alignment/>
      <protection/>
    </xf>
    <xf numFmtId="0" fontId="97"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6" fillId="0" borderId="0">
      <alignment/>
      <protection/>
    </xf>
    <xf numFmtId="0" fontId="6" fillId="0" borderId="0">
      <alignment/>
      <protection/>
    </xf>
    <xf numFmtId="0" fontId="16"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16"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 fillId="0" borderId="0">
      <alignment/>
      <protection/>
    </xf>
    <xf numFmtId="0" fontId="0" fillId="0" borderId="0">
      <alignment/>
      <protection/>
    </xf>
    <xf numFmtId="0" fontId="225" fillId="0" borderId="0">
      <alignment/>
      <protection/>
    </xf>
    <xf numFmtId="0" fontId="0" fillId="0" borderId="0">
      <alignment/>
      <protection/>
    </xf>
    <xf numFmtId="0" fontId="225"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4" fillId="0" borderId="0">
      <alignment/>
      <protection/>
    </xf>
    <xf numFmtId="0" fontId="0" fillId="0" borderId="0">
      <alignment/>
      <protection/>
    </xf>
    <xf numFmtId="0" fontId="6" fillId="0" borderId="0">
      <alignment/>
      <protection/>
    </xf>
    <xf numFmtId="0" fontId="0" fillId="0" borderId="0">
      <alignment/>
      <protection/>
    </xf>
    <xf numFmtId="0" fontId="224" fillId="0" borderId="0">
      <alignment/>
      <protection/>
    </xf>
    <xf numFmtId="0" fontId="225" fillId="0" borderId="0">
      <alignment/>
      <protection/>
    </xf>
    <xf numFmtId="0" fontId="0" fillId="0" borderId="0">
      <alignment/>
      <protection/>
    </xf>
    <xf numFmtId="0" fontId="7" fillId="0" borderId="0">
      <alignment/>
      <protection/>
    </xf>
    <xf numFmtId="0" fontId="10" fillId="0" borderId="0">
      <alignment/>
      <protection/>
    </xf>
    <xf numFmtId="0" fontId="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16" fillId="0" borderId="0">
      <alignment/>
      <protection/>
    </xf>
    <xf numFmtId="0" fontId="225"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2" fillId="0" borderId="0">
      <alignment/>
      <protection/>
    </xf>
    <xf numFmtId="0" fontId="23" fillId="0" borderId="0">
      <alignment/>
      <protection/>
    </xf>
    <xf numFmtId="0" fontId="98" fillId="0" borderId="0" applyNumberFormat="0" applyFill="0" applyBorder="0" applyProtection="0">
      <alignment vertical="top"/>
    </xf>
    <xf numFmtId="0" fontId="97"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2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7" fillId="0" borderId="0">
      <alignment/>
      <protection/>
    </xf>
    <xf numFmtId="0" fontId="6"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4" fillId="0" borderId="0">
      <alignment/>
      <protection/>
    </xf>
    <xf numFmtId="0" fontId="22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17" fillId="0" borderId="0">
      <alignment/>
      <protection/>
    </xf>
    <xf numFmtId="0" fontId="40" fillId="0" borderId="0" applyFont="0">
      <alignment/>
      <protection/>
    </xf>
    <xf numFmtId="0" fontId="72" fillId="0" borderId="0">
      <alignment/>
      <protection/>
    </xf>
    <xf numFmtId="0" fontId="0" fillId="36" borderId="22" applyNumberFormat="0" applyFont="0" applyAlignment="0" applyProtection="0"/>
    <xf numFmtId="250" fontId="99" fillId="0" borderId="0" applyFont="0" applyFill="0" applyBorder="0" applyProtection="0">
      <alignment vertical="top" wrapText="1"/>
    </xf>
    <xf numFmtId="0" fontId="19" fillId="0" borderId="0">
      <alignment/>
      <protection/>
    </xf>
    <xf numFmtId="174" fontId="38" fillId="0" borderId="0" applyFont="0" applyFill="0" applyBorder="0" applyAlignment="0" applyProtection="0"/>
    <xf numFmtId="187" fontId="38"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0" fillId="0" borderId="0" applyFont="0" applyFill="0" applyBorder="0" applyAlignment="0" applyProtection="0"/>
    <xf numFmtId="0" fontId="2" fillId="0" borderId="0">
      <alignment/>
      <protection/>
    </xf>
    <xf numFmtId="0" fontId="226" fillId="28" borderId="23" applyNumberFormat="0" applyAlignment="0" applyProtection="0"/>
    <xf numFmtId="172" fontId="100" fillId="0" borderId="21" applyFont="0" applyBorder="0" applyAlignment="0">
      <protection/>
    </xf>
    <xf numFmtId="41" fontId="0" fillId="0" borderId="0" applyFont="0" applyFill="0" applyBorder="0" applyAlignment="0" applyProtection="0"/>
    <xf numFmtId="14" fontId="56" fillId="0" borderId="0">
      <alignment horizontal="center" wrapText="1"/>
      <protection locked="0"/>
    </xf>
    <xf numFmtId="9" fontId="0" fillId="0" borderId="0" applyFont="0" applyFill="0" applyBorder="0" applyAlignment="0" applyProtection="0"/>
    <xf numFmtId="217" fontId="0" fillId="0" borderId="0" applyFont="0" applyFill="0" applyBorder="0" applyAlignment="0" applyProtection="0"/>
    <xf numFmtId="17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35" fillId="0" borderId="24" applyNumberFormat="0" applyBorder="0">
      <alignment/>
      <protection/>
    </xf>
    <xf numFmtId="9" fontId="35" fillId="0" borderId="24" applyNumberFormat="0" applyBorder="0">
      <alignment/>
      <protection/>
    </xf>
    <xf numFmtId="0" fontId="0" fillId="0" borderId="0" applyFill="0" applyBorder="0" applyAlignment="0">
      <protection/>
    </xf>
    <xf numFmtId="176" fontId="34" fillId="0" borderId="0" applyFill="0" applyBorder="0" applyAlignment="0">
      <protection/>
    </xf>
    <xf numFmtId="218" fontId="34" fillId="0" borderId="0" applyFill="0" applyBorder="0" applyAlignment="0">
      <protection/>
    </xf>
    <xf numFmtId="219" fontId="34" fillId="0" borderId="0" applyFill="0" applyBorder="0" applyAlignment="0">
      <protection/>
    </xf>
    <xf numFmtId="176" fontId="34" fillId="0" borderId="0" applyFill="0" applyBorder="0" applyAlignment="0">
      <protection/>
    </xf>
    <xf numFmtId="0" fontId="101" fillId="0" borderId="0">
      <alignment/>
      <protection/>
    </xf>
    <xf numFmtId="0" fontId="35" fillId="0" borderId="0" applyNumberFormat="0" applyFont="0" applyFill="0" applyBorder="0" applyAlignment="0" applyProtection="0"/>
    <xf numFmtId="0" fontId="102" fillId="0" borderId="17">
      <alignment horizontal="center"/>
      <protection/>
    </xf>
    <xf numFmtId="1" fontId="0" fillId="0" borderId="10" applyNumberFormat="0" applyFill="0" applyAlignment="0" applyProtection="0"/>
    <xf numFmtId="0" fontId="103" fillId="37" borderId="0" applyNumberFormat="0" applyFont="0" applyBorder="0" applyAlignment="0">
      <protection/>
    </xf>
    <xf numFmtId="14" fontId="104" fillId="0" borderId="0" applyNumberFormat="0" applyFill="0" applyBorder="0" applyAlignment="0" applyProtection="0"/>
    <xf numFmtId="0" fontId="88" fillId="0" borderId="0" applyNumberFormat="0" applyFill="0" applyBorder="0" applyAlignment="0" applyProtection="0"/>
    <xf numFmtId="0" fontId="19" fillId="0" borderId="0">
      <alignment/>
      <protection/>
    </xf>
    <xf numFmtId="41" fontId="26" fillId="0" borderId="0" applyFont="0" applyFill="0" applyBorder="0" applyAlignment="0" applyProtection="0"/>
    <xf numFmtId="0" fontId="17" fillId="0" borderId="0" applyNumberFormat="0" applyFill="0" applyBorder="0" applyAlignment="0" applyProtection="0"/>
    <xf numFmtId="200" fontId="26" fillId="0" borderId="0" applyFont="0" applyFill="0" applyBorder="0" applyAlignment="0" applyProtection="0"/>
    <xf numFmtId="4" fontId="105" fillId="38" borderId="25" applyNumberFormat="0" applyProtection="0">
      <alignment vertical="center"/>
    </xf>
    <xf numFmtId="4" fontId="106" fillId="38" borderId="25" applyNumberFormat="0" applyProtection="0">
      <alignment vertical="center"/>
    </xf>
    <xf numFmtId="4" fontId="107" fillId="38" borderId="25" applyNumberFormat="0" applyProtection="0">
      <alignment horizontal="left" vertical="center" indent="1"/>
    </xf>
    <xf numFmtId="4" fontId="107" fillId="39" borderId="0" applyNumberFormat="0" applyProtection="0">
      <alignment horizontal="left" vertical="center" indent="1"/>
    </xf>
    <xf numFmtId="4" fontId="107" fillId="40" borderId="25" applyNumberFormat="0" applyProtection="0">
      <alignment horizontal="right" vertical="center"/>
    </xf>
    <xf numFmtId="4" fontId="107" fillId="5" borderId="25" applyNumberFormat="0" applyProtection="0">
      <alignment horizontal="right" vertical="center"/>
    </xf>
    <xf numFmtId="4" fontId="107" fillId="41" borderId="25" applyNumberFormat="0" applyProtection="0">
      <alignment horizontal="right" vertical="center"/>
    </xf>
    <xf numFmtId="4" fontId="107" fillId="6" borderId="25" applyNumberFormat="0" applyProtection="0">
      <alignment horizontal="right" vertical="center"/>
    </xf>
    <xf numFmtId="4" fontId="107" fillId="42" borderId="25" applyNumberFormat="0" applyProtection="0">
      <alignment horizontal="right" vertical="center"/>
    </xf>
    <xf numFmtId="4" fontId="107" fillId="43" borderId="25" applyNumberFormat="0" applyProtection="0">
      <alignment horizontal="right" vertical="center"/>
    </xf>
    <xf numFmtId="4" fontId="107" fillId="44" borderId="25" applyNumberFormat="0" applyProtection="0">
      <alignment horizontal="right" vertical="center"/>
    </xf>
    <xf numFmtId="4" fontId="107" fillId="45" borderId="25" applyNumberFormat="0" applyProtection="0">
      <alignment horizontal="right" vertical="center"/>
    </xf>
    <xf numFmtId="4" fontId="107" fillId="46" borderId="25" applyNumberFormat="0" applyProtection="0">
      <alignment horizontal="right" vertical="center"/>
    </xf>
    <xf numFmtId="4" fontId="105" fillId="47" borderId="26" applyNumberFormat="0" applyProtection="0">
      <alignment horizontal="left" vertical="center" indent="1"/>
    </xf>
    <xf numFmtId="4" fontId="105" fillId="48" borderId="0" applyNumberFormat="0" applyProtection="0">
      <alignment horizontal="left" vertical="center" indent="1"/>
    </xf>
    <xf numFmtId="4" fontId="105" fillId="39" borderId="0" applyNumberFormat="0" applyProtection="0">
      <alignment horizontal="left" vertical="center" indent="1"/>
    </xf>
    <xf numFmtId="4" fontId="107" fillId="48" borderId="25" applyNumberFormat="0" applyProtection="0">
      <alignment horizontal="right" vertical="center"/>
    </xf>
    <xf numFmtId="4" fontId="20" fillId="48" borderId="0" applyNumberFormat="0" applyProtection="0">
      <alignment horizontal="left" vertical="center" indent="1"/>
    </xf>
    <xf numFmtId="4" fontId="20" fillId="39" borderId="0" applyNumberFormat="0" applyProtection="0">
      <alignment horizontal="left" vertical="center" indent="1"/>
    </xf>
    <xf numFmtId="4" fontId="107" fillId="49" borderId="25" applyNumberFormat="0" applyProtection="0">
      <alignment vertical="center"/>
    </xf>
    <xf numFmtId="4" fontId="108" fillId="49" borderId="25" applyNumberFormat="0" applyProtection="0">
      <alignment vertical="center"/>
    </xf>
    <xf numFmtId="4" fontId="105" fillId="48" borderId="27" applyNumberFormat="0" applyProtection="0">
      <alignment horizontal="left" vertical="center" indent="1"/>
    </xf>
    <xf numFmtId="4" fontId="107" fillId="49" borderId="25" applyNumberFormat="0" applyProtection="0">
      <alignment horizontal="right" vertical="center"/>
    </xf>
    <xf numFmtId="4" fontId="108" fillId="49" borderId="25" applyNumberFormat="0" applyProtection="0">
      <alignment horizontal="right" vertical="center"/>
    </xf>
    <xf numFmtId="4" fontId="105" fillId="48" borderId="25" applyNumberFormat="0" applyProtection="0">
      <alignment horizontal="left" vertical="center" indent="1"/>
    </xf>
    <xf numFmtId="4" fontId="109" fillId="32" borderId="27" applyNumberFormat="0" applyProtection="0">
      <alignment horizontal="left" vertical="center" indent="1"/>
    </xf>
    <xf numFmtId="4" fontId="110" fillId="49" borderId="25" applyNumberFormat="0" applyProtection="0">
      <alignment horizontal="right" vertical="center"/>
    </xf>
    <xf numFmtId="251" fontId="111" fillId="0" borderId="0" applyFont="0" applyFill="0" applyBorder="0" applyAlignment="0" applyProtection="0"/>
    <xf numFmtId="0" fontId="103" fillId="1" borderId="13" applyNumberFormat="0" applyFont="0" applyAlignment="0">
      <protection/>
    </xf>
    <xf numFmtId="0" fontId="103" fillId="1" borderId="13" applyNumberFormat="0" applyFont="0" applyAlignment="0">
      <protection/>
    </xf>
    <xf numFmtId="3" fontId="23" fillId="0" borderId="0">
      <alignment/>
      <protection/>
    </xf>
    <xf numFmtId="0" fontId="112" fillId="0" borderId="0" applyNumberFormat="0" applyFill="0" applyBorder="0" applyAlignment="0">
      <protection/>
    </xf>
    <xf numFmtId="0" fontId="0" fillId="0" borderId="0">
      <alignment/>
      <protection/>
    </xf>
    <xf numFmtId="172" fontId="113" fillId="0" borderId="0" applyNumberFormat="0" applyBorder="0" applyAlignment="0">
      <protection/>
    </xf>
    <xf numFmtId="0" fontId="5" fillId="0" borderId="0">
      <alignment/>
      <protection/>
    </xf>
    <xf numFmtId="0" fontId="34" fillId="0" borderId="0">
      <alignment/>
      <protection/>
    </xf>
    <xf numFmtId="0" fontId="19" fillId="0" borderId="0" applyNumberFormat="0" applyFill="0" applyBorder="0" applyAlignment="0" applyProtection="0"/>
    <xf numFmtId="0" fontId="5" fillId="0" borderId="0">
      <alignment/>
      <protection/>
    </xf>
    <xf numFmtId="0" fontId="34" fillId="0" borderId="0">
      <alignment/>
      <protection/>
    </xf>
    <xf numFmtId="0" fontId="34" fillId="0" borderId="0">
      <alignment/>
      <protection/>
    </xf>
    <xf numFmtId="172" fontId="41"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87" fontId="17"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87" fontId="17"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199"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187" fontId="17" fillId="0" borderId="0" applyFont="0" applyFill="0" applyBorder="0" applyAlignment="0" applyProtection="0"/>
    <xf numFmtId="42" fontId="26" fillId="0" borderId="0" applyFont="0" applyFill="0" applyBorder="0" applyAlignment="0" applyProtection="0"/>
    <xf numFmtId="0" fontId="19" fillId="0" borderId="0">
      <alignment/>
      <protection/>
    </xf>
    <xf numFmtId="252" fontId="60" fillId="0" borderId="0" applyFont="0" applyFill="0" applyBorder="0" applyAlignment="0" applyProtection="0"/>
    <xf numFmtId="191" fontId="26" fillId="0" borderId="0" applyFont="0" applyFill="0" applyBorder="0" applyAlignment="0" applyProtection="0"/>
    <xf numFmtId="19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72" fontId="41"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192" fontId="26"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172" fontId="41" fillId="0" borderId="0" applyFont="0" applyFill="0" applyBorder="0" applyAlignment="0" applyProtection="0"/>
    <xf numFmtId="199" fontId="26" fillId="0" borderId="0" applyFont="0" applyFill="0" applyBorder="0" applyAlignment="0" applyProtection="0"/>
    <xf numFmtId="192" fontId="26" fillId="0" borderId="0" applyFont="0" applyFill="0" applyBorder="0" applyAlignment="0" applyProtection="0"/>
    <xf numFmtId="192" fontId="26" fillId="0" borderId="0" applyFont="0" applyFill="0" applyBorder="0" applyAlignment="0" applyProtection="0"/>
    <xf numFmtId="42" fontId="26" fillId="0" borderId="0" applyFont="0" applyFill="0" applyBorder="0" applyAlignment="0" applyProtection="0"/>
    <xf numFmtId="0" fontId="19" fillId="0" borderId="0">
      <alignment/>
      <protection/>
    </xf>
    <xf numFmtId="252" fontId="60"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84" fontId="26" fillId="0" borderId="0" applyFont="0" applyFill="0" applyBorder="0" applyAlignment="0" applyProtection="0"/>
    <xf numFmtId="0" fontId="19" fillId="0" borderId="0">
      <alignment/>
      <protection/>
    </xf>
    <xf numFmtId="252" fontId="60" fillId="0" borderId="0" applyFont="0" applyFill="0" applyBorder="0" applyAlignment="0" applyProtection="0"/>
    <xf numFmtId="169" fontId="26" fillId="0" borderId="0" applyFont="0" applyFill="0" applyBorder="0" applyAlignment="0" applyProtection="0"/>
    <xf numFmtId="172" fontId="41"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184" fontId="26" fillId="0" borderId="0" applyFont="0" applyFill="0" applyBorder="0" applyAlignment="0" applyProtection="0"/>
    <xf numFmtId="198" fontId="26" fillId="0" borderId="0" applyFont="0" applyFill="0" applyBorder="0" applyAlignment="0" applyProtection="0"/>
    <xf numFmtId="184" fontId="23" fillId="0" borderId="0" applyFont="0" applyFill="0" applyBorder="0" applyAlignment="0" applyProtection="0"/>
    <xf numFmtId="169" fontId="26" fillId="0" borderId="0" applyFont="0" applyFill="0" applyBorder="0" applyAlignment="0" applyProtection="0"/>
    <xf numFmtId="198" fontId="26" fillId="0" borderId="0" applyFont="0" applyFill="0" applyBorder="0" applyAlignment="0" applyProtection="0"/>
    <xf numFmtId="184" fontId="26" fillId="0" borderId="0" applyFont="0" applyFill="0" applyBorder="0" applyAlignment="0" applyProtection="0"/>
    <xf numFmtId="199" fontId="26" fillId="0" borderId="0" applyFont="0" applyFill="0" applyBorder="0" applyAlignment="0" applyProtection="0"/>
    <xf numFmtId="0" fontId="19" fillId="0" borderId="0">
      <alignment/>
      <protection/>
    </xf>
    <xf numFmtId="252" fontId="60" fillId="0" borderId="0" applyFont="0" applyFill="0" applyBorder="0" applyAlignment="0" applyProtection="0"/>
    <xf numFmtId="169" fontId="26" fillId="0" borderId="0" applyFont="0" applyFill="0" applyBorder="0" applyAlignment="0" applyProtection="0"/>
    <xf numFmtId="187" fontId="26" fillId="0" borderId="0" applyFont="0" applyFill="0" applyBorder="0" applyAlignment="0" applyProtection="0"/>
    <xf numFmtId="169"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201" fontId="26" fillId="0" borderId="0" applyFont="0" applyFill="0" applyBorder="0" applyAlignment="0" applyProtection="0"/>
    <xf numFmtId="169"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190" fontId="26" fillId="0" borderId="0" applyFont="0" applyFill="0" applyBorder="0" applyAlignment="0" applyProtection="0"/>
    <xf numFmtId="187" fontId="26" fillId="0" borderId="0" applyFont="0" applyFill="0" applyBorder="0" applyAlignment="0" applyProtection="0"/>
    <xf numFmtId="41" fontId="26" fillId="0" borderId="0" applyFont="0" applyFill="0" applyBorder="0" applyAlignment="0" applyProtection="0"/>
    <xf numFmtId="187" fontId="26" fillId="0" borderId="0" applyFont="0" applyFill="0" applyBorder="0" applyAlignment="0" applyProtection="0"/>
    <xf numFmtId="201" fontId="26" fillId="0" borderId="0" applyFont="0" applyFill="0" applyBorder="0" applyAlignment="0" applyProtection="0"/>
    <xf numFmtId="169" fontId="26" fillId="0" borderId="0" applyFont="0" applyFill="0" applyBorder="0" applyAlignment="0" applyProtection="0"/>
    <xf numFmtId="201" fontId="26" fillId="0" borderId="0" applyFont="0" applyFill="0" applyBorder="0" applyAlignment="0" applyProtection="0"/>
    <xf numFmtId="190" fontId="26" fillId="0" borderId="0" applyFont="0" applyFill="0" applyBorder="0" applyAlignment="0" applyProtection="0"/>
    <xf numFmtId="41" fontId="26" fillId="0" borderId="0" applyFont="0" applyFill="0" applyBorder="0" applyAlignment="0" applyProtection="0"/>
    <xf numFmtId="14" fontId="114" fillId="0" borderId="0">
      <alignment/>
      <protection/>
    </xf>
    <xf numFmtId="0" fontId="115" fillId="0" borderId="0">
      <alignment/>
      <protection/>
    </xf>
    <xf numFmtId="0" fontId="92" fillId="0" borderId="0">
      <alignment/>
      <protection/>
    </xf>
    <xf numFmtId="40" fontId="116" fillId="0" borderId="0" applyBorder="0">
      <alignment horizontal="right"/>
      <protection/>
    </xf>
    <xf numFmtId="0" fontId="117" fillId="0" borderId="0">
      <alignment/>
      <protection/>
    </xf>
    <xf numFmtId="253" fontId="60" fillId="0" borderId="28">
      <alignment horizontal="right" vertical="center"/>
      <protection/>
    </xf>
    <xf numFmtId="253" fontId="60"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6" fontId="41"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9" fontId="119" fillId="2" borderId="29" applyFont="0" applyFill="0" applyBorder="0">
      <alignment/>
      <protection/>
    </xf>
    <xf numFmtId="259" fontId="119" fillId="2" borderId="29" applyFont="0" applyFill="0" applyBorder="0">
      <alignment/>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9" fontId="119" fillId="2" borderId="29" applyFont="0" applyFill="0" applyBorder="0">
      <alignment/>
      <protection/>
    </xf>
    <xf numFmtId="259" fontId="119" fillId="2" borderId="29" applyFont="0" applyFill="0" applyBorder="0">
      <alignment/>
      <protection/>
    </xf>
    <xf numFmtId="257" fontId="0" fillId="0" borderId="28">
      <alignment horizontal="right" vertical="center"/>
      <protection/>
    </xf>
    <xf numFmtId="257"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258" fontId="0"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180" fontId="17" fillId="0" borderId="28">
      <alignment horizontal="right" vertical="center"/>
      <protection/>
    </xf>
    <xf numFmtId="257" fontId="0" fillId="0" borderId="28">
      <alignment horizontal="right" vertical="center"/>
      <protection/>
    </xf>
    <xf numFmtId="257" fontId="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61" fontId="17" fillId="0" borderId="28">
      <alignment horizontal="right" vertical="center"/>
      <protection/>
    </xf>
    <xf numFmtId="261" fontId="17" fillId="0" borderId="28">
      <alignment horizontal="right" vertical="center"/>
      <protection/>
    </xf>
    <xf numFmtId="261" fontId="17" fillId="0" borderId="28">
      <alignment horizontal="right" vertical="center"/>
      <protection/>
    </xf>
    <xf numFmtId="261" fontId="17" fillId="0" borderId="28">
      <alignment horizontal="right" vertical="center"/>
      <protection/>
    </xf>
    <xf numFmtId="261" fontId="17" fillId="0" borderId="28">
      <alignment horizontal="right" vertical="center"/>
      <protection/>
    </xf>
    <xf numFmtId="261" fontId="17"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4" fontId="10" fillId="0" borderId="28">
      <alignment horizontal="right" vertical="center"/>
      <protection/>
    </xf>
    <xf numFmtId="259" fontId="119" fillId="2" borderId="29" applyFont="0" applyFill="0" applyBorder="0">
      <alignment/>
      <protection/>
    </xf>
    <xf numFmtId="259" fontId="119" fillId="2" borderId="29" applyFont="0" applyFill="0" applyBorder="0">
      <alignment/>
      <protection/>
    </xf>
    <xf numFmtId="248" fontId="17" fillId="0" borderId="28">
      <alignment horizontal="right" vertical="center"/>
      <protection/>
    </xf>
    <xf numFmtId="248" fontId="17" fillId="0" borderId="28">
      <alignment horizontal="right" vertical="center"/>
      <protection/>
    </xf>
    <xf numFmtId="248" fontId="17" fillId="0" borderId="28">
      <alignment horizontal="right" vertical="center"/>
      <protection/>
    </xf>
    <xf numFmtId="248" fontId="17" fillId="0" borderId="28">
      <alignment horizontal="right" vertical="center"/>
      <protection/>
    </xf>
    <xf numFmtId="248" fontId="17" fillId="0" borderId="28">
      <alignment horizontal="right" vertical="center"/>
      <protection/>
    </xf>
    <xf numFmtId="248" fontId="17"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45" fontId="118"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60" fontId="17" fillId="0" borderId="28">
      <alignment horizontal="right" vertical="center"/>
      <protection/>
    </xf>
    <xf numFmtId="259" fontId="119" fillId="2" borderId="29" applyFont="0" applyFill="0" applyBorder="0">
      <alignment/>
      <protection/>
    </xf>
    <xf numFmtId="259" fontId="119" fillId="2" borderId="29" applyFont="0" applyFill="0" applyBorder="0">
      <alignment/>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62" fontId="120" fillId="0" borderId="28">
      <alignment horizontal="right" vertical="center"/>
      <protection/>
    </xf>
    <xf numFmtId="255" fontId="26" fillId="0" borderId="28">
      <alignment horizontal="right" vertical="center"/>
      <protection/>
    </xf>
    <xf numFmtId="255" fontId="26" fillId="0" borderId="28">
      <alignment horizontal="right" vertical="center"/>
      <protection/>
    </xf>
    <xf numFmtId="253" fontId="60" fillId="0" borderId="28">
      <alignment horizontal="right" vertical="center"/>
      <protection/>
    </xf>
    <xf numFmtId="253" fontId="60" fillId="0" borderId="28">
      <alignment horizontal="right" vertical="center"/>
      <protection/>
    </xf>
    <xf numFmtId="49" fontId="20" fillId="0" borderId="0" applyFill="0" applyBorder="0" applyAlignment="0">
      <protection/>
    </xf>
    <xf numFmtId="0" fontId="0" fillId="0" borderId="0" applyFill="0" applyBorder="0" applyAlignment="0">
      <protection/>
    </xf>
    <xf numFmtId="261" fontId="0" fillId="0" borderId="0" applyFill="0" applyBorder="0" applyAlignment="0">
      <protection/>
    </xf>
    <xf numFmtId="184" fontId="60" fillId="0" borderId="28">
      <alignment horizontal="center"/>
      <protection/>
    </xf>
    <xf numFmtId="184" fontId="60" fillId="0" borderId="28">
      <alignment horizontal="center"/>
      <protection/>
    </xf>
    <xf numFmtId="264" fontId="129" fillId="0" borderId="0" applyNumberFormat="0" applyFont="0" applyFill="0" applyBorder="0" applyAlignment="0">
      <protection/>
    </xf>
    <xf numFmtId="0" fontId="130" fillId="0" borderId="30">
      <alignment/>
      <protection/>
    </xf>
    <xf numFmtId="0" fontId="6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41" fillId="0" borderId="21" applyNumberFormat="0" applyBorder="0" applyAlignment="0">
      <protection/>
    </xf>
    <xf numFmtId="0" fontId="131" fillId="0" borderId="20" applyNumberFormat="0" applyBorder="0" applyAlignment="0">
      <protection/>
    </xf>
    <xf numFmtId="0" fontId="131" fillId="0" borderId="20" applyNumberFormat="0" applyBorder="0" applyAlignment="0">
      <protection/>
    </xf>
    <xf numFmtId="3" fontId="132" fillId="0" borderId="11" applyNumberFormat="0" applyBorder="0" applyAlignment="0">
      <protection/>
    </xf>
    <xf numFmtId="0" fontId="121" fillId="0" borderId="21">
      <alignment horizontal="center" vertical="center" wrapText="1"/>
      <protection/>
    </xf>
    <xf numFmtId="0" fontId="122" fillId="0" borderId="0">
      <alignment horizontal="center"/>
      <protection/>
    </xf>
    <xf numFmtId="40" fontId="22" fillId="0" borderId="0">
      <alignment/>
      <protection/>
    </xf>
    <xf numFmtId="3" fontId="123" fillId="0" borderId="0" applyNumberFormat="0" applyFill="0" applyBorder="0" applyAlignment="0" applyProtection="0"/>
    <xf numFmtId="0" fontId="124" fillId="0" borderId="31" applyBorder="0" applyAlignment="0">
      <protection/>
    </xf>
    <xf numFmtId="0" fontId="124" fillId="0" borderId="31" applyBorder="0" applyAlignment="0">
      <protection/>
    </xf>
    <xf numFmtId="0" fontId="125" fillId="0" borderId="0" applyNumberFormat="0" applyFill="0" applyBorder="0" applyAlignment="0" applyProtection="0"/>
    <xf numFmtId="0" fontId="77" fillId="0" borderId="32" applyNumberFormat="0" applyFill="0" applyBorder="0" applyAlignment="0" applyProtection="0"/>
    <xf numFmtId="0" fontId="227" fillId="0" borderId="0" applyNumberFormat="0" applyFill="0" applyBorder="0" applyAlignment="0" applyProtection="0"/>
    <xf numFmtId="3" fontId="126" fillId="0" borderId="10" applyNumberFormat="0" applyAlignment="0">
      <protection/>
    </xf>
    <xf numFmtId="3" fontId="127" fillId="0" borderId="21" applyNumberFormat="0" applyAlignment="0">
      <protection/>
    </xf>
    <xf numFmtId="0" fontId="128" fillId="0" borderId="33" applyNumberFormat="0" applyBorder="0" applyAlignment="0">
      <protection/>
    </xf>
    <xf numFmtId="0" fontId="228" fillId="0" borderId="34" applyNumberFormat="0" applyFill="0" applyAlignment="0" applyProtection="0"/>
    <xf numFmtId="0" fontId="133" fillId="0" borderId="35" applyNumberFormat="0" applyAlignment="0">
      <protection/>
    </xf>
    <xf numFmtId="0" fontId="8" fillId="0" borderId="36">
      <alignment horizontal="center"/>
      <protection/>
    </xf>
    <xf numFmtId="187" fontId="0" fillId="0" borderId="0" applyFont="0" applyFill="0" applyBorder="0" applyAlignment="0" applyProtection="0"/>
    <xf numFmtId="263" fontId="0" fillId="0" borderId="0" applyFont="0" applyFill="0" applyBorder="0" applyAlignment="0" applyProtection="0"/>
    <xf numFmtId="240" fontId="86" fillId="0" borderId="0" applyFont="0" applyFill="0" applyBorder="0" applyAlignment="0" applyProtection="0"/>
    <xf numFmtId="189" fontId="0" fillId="0" borderId="0" applyFont="0" applyFill="0" applyBorder="0" applyAlignment="0" applyProtection="0"/>
    <xf numFmtId="265" fontId="0" fillId="0" borderId="0" applyFont="0" applyFill="0" applyBorder="0" applyAlignment="0" applyProtection="0"/>
    <xf numFmtId="0" fontId="81" fillId="0" borderId="37">
      <alignment horizontal="center"/>
      <protection/>
    </xf>
    <xf numFmtId="0" fontId="81" fillId="0" borderId="37">
      <alignment horizontal="center"/>
      <protection/>
    </xf>
    <xf numFmtId="261" fontId="60" fillId="0" borderId="0">
      <alignment/>
      <protection/>
    </xf>
    <xf numFmtId="266" fontId="60" fillId="0" borderId="1">
      <alignment/>
      <protection/>
    </xf>
    <xf numFmtId="266" fontId="60" fillId="0" borderId="1">
      <alignment/>
      <protection/>
    </xf>
    <xf numFmtId="0" fontId="9" fillId="0" borderId="0">
      <alignment/>
      <protection/>
    </xf>
    <xf numFmtId="3" fontId="60" fillId="0" borderId="0" applyNumberFormat="0" applyBorder="0" applyAlignment="0" applyProtection="0"/>
    <xf numFmtId="3" fontId="40" fillId="0" borderId="0">
      <alignment/>
      <protection locked="0"/>
    </xf>
    <xf numFmtId="0" fontId="9" fillId="0" borderId="0">
      <alignment/>
      <protection/>
    </xf>
    <xf numFmtId="5" fontId="134" fillId="50" borderId="31">
      <alignment vertical="top"/>
      <protection/>
    </xf>
    <xf numFmtId="5" fontId="134" fillId="50" borderId="31">
      <alignment vertical="top"/>
      <protection/>
    </xf>
    <xf numFmtId="0" fontId="136" fillId="51" borderId="1">
      <alignment horizontal="left" vertical="center"/>
      <protection/>
    </xf>
    <xf numFmtId="0" fontId="136" fillId="51" borderId="1">
      <alignment horizontal="left" vertical="center"/>
      <protection/>
    </xf>
    <xf numFmtId="6" fontId="137" fillId="52" borderId="31">
      <alignment/>
      <protection/>
    </xf>
    <xf numFmtId="6" fontId="137" fillId="52" borderId="31">
      <alignment/>
      <protection/>
    </xf>
    <xf numFmtId="5" fontId="84" fillId="0" borderId="31">
      <alignment horizontal="left" vertical="top"/>
      <protection/>
    </xf>
    <xf numFmtId="5" fontId="84" fillId="0" borderId="31">
      <alignment horizontal="left" vertical="top"/>
      <protection/>
    </xf>
    <xf numFmtId="0" fontId="138" fillId="53" borderId="0">
      <alignment horizontal="left" vertical="center"/>
      <protection/>
    </xf>
    <xf numFmtId="5" fontId="19" fillId="0" borderId="10">
      <alignment horizontal="left" vertical="top"/>
      <protection/>
    </xf>
    <xf numFmtId="0" fontId="135" fillId="0" borderId="10">
      <alignment horizontal="left" vertical="center"/>
      <protection/>
    </xf>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42" fontId="5" fillId="0" borderId="0" applyFont="0" applyFill="0" applyBorder="0" applyAlignment="0" applyProtection="0"/>
    <xf numFmtId="267" fontId="0" fillId="0" borderId="0" applyFont="0" applyFill="0" applyBorder="0" applyAlignment="0" applyProtection="0"/>
    <xf numFmtId="42" fontId="72" fillId="0" borderId="0" applyFont="0" applyFill="0" applyBorder="0" applyAlignment="0" applyProtection="0"/>
    <xf numFmtId="44" fontId="72" fillId="0" borderId="0" applyFont="0" applyFill="0" applyBorder="0" applyAlignment="0" applyProtection="0"/>
    <xf numFmtId="0" fontId="229" fillId="0" borderId="0" applyNumberFormat="0" applyFill="0" applyBorder="0" applyAlignment="0" applyProtection="0"/>
    <xf numFmtId="0" fontId="139" fillId="0" borderId="0" applyNumberFormat="0" applyFont="0" applyFill="0" applyBorder="0" applyProtection="0">
      <alignment horizontal="center" vertical="center" wrapText="1"/>
    </xf>
    <xf numFmtId="0" fontId="0" fillId="0" borderId="0" applyFont="0" applyFill="0" applyBorder="0" applyAlignment="0" applyProtection="0"/>
    <xf numFmtId="0" fontId="0" fillId="0" borderId="0" applyFont="0" applyFill="0" applyBorder="0" applyAlignment="0" applyProtection="0"/>
    <xf numFmtId="0" fontId="140" fillId="0" borderId="0" applyNumberFormat="0" applyFill="0" applyBorder="0" applyAlignment="0" applyProtection="0"/>
    <xf numFmtId="0" fontId="10" fillId="0" borderId="38" applyFont="0" applyBorder="0" applyAlignment="0">
      <protection/>
    </xf>
    <xf numFmtId="0" fontId="10" fillId="0" borderId="38" applyFont="0" applyBorder="0" applyAlignment="0">
      <protection/>
    </xf>
    <xf numFmtId="187" fontId="17" fillId="0" borderId="0" applyFont="0" applyFill="0" applyBorder="0" applyAlignment="0" applyProtection="0"/>
    <xf numFmtId="42" fontId="141" fillId="0" borderId="0" applyFont="0" applyFill="0" applyBorder="0" applyAlignment="0" applyProtection="0"/>
    <xf numFmtId="44" fontId="141" fillId="0" borderId="0" applyFont="0" applyFill="0" applyBorder="0" applyAlignment="0" applyProtection="0"/>
    <xf numFmtId="0" fontId="141" fillId="0" borderId="0">
      <alignment/>
      <protection/>
    </xf>
    <xf numFmtId="40" fontId="143" fillId="0" borderId="0" applyFont="0" applyFill="0" applyBorder="0" applyAlignment="0" applyProtection="0"/>
    <xf numFmtId="38" fontId="143" fillId="0" borderId="0" applyFont="0" applyFill="0" applyBorder="0" applyAlignment="0" applyProtection="0"/>
    <xf numFmtId="0" fontId="143" fillId="0" borderId="0" applyFont="0" applyFill="0" applyBorder="0" applyAlignment="0" applyProtection="0"/>
    <xf numFmtId="0" fontId="143" fillId="0" borderId="0" applyFont="0" applyFill="0" applyBorder="0" applyAlignment="0" applyProtection="0"/>
    <xf numFmtId="9" fontId="144" fillId="0" borderId="0" applyBorder="0" applyAlignment="0" applyProtection="0"/>
    <xf numFmtId="0" fontId="145" fillId="0" borderId="0">
      <alignment/>
      <protection/>
    </xf>
    <xf numFmtId="0" fontId="146" fillId="0" borderId="3">
      <alignment/>
      <protection/>
    </xf>
    <xf numFmtId="0" fontId="70" fillId="0" borderId="0">
      <alignment/>
      <protection/>
    </xf>
    <xf numFmtId="187" fontId="3" fillId="0" borderId="0" applyFont="0" applyFill="0" applyBorder="0" applyAlignment="0" applyProtection="0"/>
    <xf numFmtId="174" fontId="3" fillId="0" borderId="0" applyFont="0" applyFill="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95" fillId="0" borderId="0" applyFont="0" applyFill="0" applyBorder="0" applyAlignment="0" applyProtection="0"/>
    <xf numFmtId="0" fontId="95" fillId="0" borderId="0" applyFont="0" applyFill="0" applyBorder="0" applyAlignment="0" applyProtection="0"/>
    <xf numFmtId="189" fontId="0" fillId="0" borderId="0" applyFont="0" applyFill="0" applyBorder="0" applyAlignment="0" applyProtection="0"/>
    <xf numFmtId="218" fontId="0" fillId="0" borderId="0" applyFont="0" applyFill="0" applyBorder="0" applyAlignment="0" applyProtection="0"/>
    <xf numFmtId="0" fontId="95" fillId="0" borderId="0">
      <alignment/>
      <protection/>
    </xf>
    <xf numFmtId="0" fontId="14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268" fontId="3" fillId="0" borderId="0" applyFont="0" applyFill="0" applyBorder="0" applyAlignment="0" applyProtection="0"/>
    <xf numFmtId="269" fontId="31" fillId="0" borderId="0" applyFont="0" applyFill="0" applyBorder="0" applyAlignment="0" applyProtection="0"/>
    <xf numFmtId="2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0" fontId="16" fillId="0" borderId="0">
      <alignment vertical="center"/>
      <protection/>
    </xf>
  </cellStyleXfs>
  <cellXfs count="683">
    <xf numFmtId="0" fontId="0" fillId="0" borderId="0" xfId="0" applyAlignment="1">
      <alignment/>
    </xf>
    <xf numFmtId="1" fontId="1" fillId="0" borderId="1" xfId="1659" applyNumberFormat="1" applyFont="1" applyFill="1" applyBorder="1" applyAlignment="1">
      <alignment horizontal="right" vertical="center"/>
      <protection/>
    </xf>
    <xf numFmtId="1" fontId="4" fillId="0" borderId="0" xfId="1659" applyNumberFormat="1" applyFont="1" applyFill="1" applyAlignment="1">
      <alignment vertical="center" wrapText="1"/>
      <protection/>
    </xf>
    <xf numFmtId="1" fontId="1" fillId="0" borderId="0" xfId="1659" applyNumberFormat="1" applyFont="1" applyFill="1" applyAlignment="1">
      <alignment horizontal="center" vertical="center"/>
      <protection/>
    </xf>
    <xf numFmtId="1" fontId="1" fillId="0" borderId="1" xfId="1659" applyNumberFormat="1" applyFont="1" applyFill="1" applyBorder="1" applyAlignment="1">
      <alignment horizontal="center" vertical="center"/>
      <protection/>
    </xf>
    <xf numFmtId="1" fontId="1" fillId="0" borderId="0" xfId="1659" applyNumberFormat="1" applyFont="1" applyFill="1" applyAlignment="1">
      <alignment horizontal="center" vertical="center" wrapText="1"/>
      <protection/>
    </xf>
    <xf numFmtId="1" fontId="1" fillId="0" borderId="1" xfId="1659" applyNumberFormat="1" applyFont="1" applyFill="1" applyBorder="1" applyAlignment="1">
      <alignment horizontal="center" vertical="center" wrapText="1"/>
      <protection/>
    </xf>
    <xf numFmtId="171" fontId="4" fillId="0" borderId="0" xfId="1012" applyFont="1" applyFill="1" applyAlignment="1">
      <alignment vertical="center" wrapText="1"/>
    </xf>
    <xf numFmtId="1" fontId="4" fillId="0" borderId="0" xfId="1659" applyNumberFormat="1" applyFont="1" applyFill="1" applyAlignment="1">
      <alignment horizontal="center" vertical="center" wrapText="1"/>
      <protection/>
    </xf>
    <xf numFmtId="1" fontId="4" fillId="0" borderId="1" xfId="1659" applyNumberFormat="1" applyFont="1" applyFill="1" applyBorder="1" applyAlignment="1">
      <alignment horizontal="center" vertical="center" wrapText="1"/>
      <protection/>
    </xf>
    <xf numFmtId="1" fontId="4" fillId="0" borderId="1" xfId="1659" applyNumberFormat="1" applyFont="1" applyFill="1" applyBorder="1" applyAlignment="1">
      <alignment horizontal="right" vertical="center"/>
      <protection/>
    </xf>
    <xf numFmtId="1" fontId="2" fillId="0" borderId="0" xfId="1659" applyNumberFormat="1" applyFont="1" applyFill="1" applyAlignment="1">
      <alignment vertical="center" wrapText="1"/>
      <protection/>
    </xf>
    <xf numFmtId="3" fontId="2" fillId="0" borderId="1" xfId="1659" applyNumberFormat="1" applyFont="1" applyFill="1" applyBorder="1" applyAlignment="1">
      <alignment horizontal="center" vertical="center" wrapText="1"/>
      <protection/>
    </xf>
    <xf numFmtId="3" fontId="2" fillId="0" borderId="1" xfId="1659" applyNumberFormat="1" applyFont="1" applyFill="1" applyBorder="1" applyAlignment="1">
      <alignment horizontal="center" vertical="center" wrapText="1"/>
      <protection/>
    </xf>
    <xf numFmtId="1" fontId="2" fillId="0" borderId="1" xfId="1659" applyNumberFormat="1" applyFont="1" applyFill="1" applyBorder="1" applyAlignment="1">
      <alignment horizontal="center" vertical="center"/>
      <protection/>
    </xf>
    <xf numFmtId="172" fontId="2" fillId="0" borderId="1" xfId="1161" applyNumberFormat="1" applyFont="1" applyFill="1" applyBorder="1" applyAlignment="1">
      <alignment horizontal="center" vertical="center"/>
    </xf>
    <xf numFmtId="1" fontId="2" fillId="0" borderId="0" xfId="1659" applyNumberFormat="1" applyFont="1" applyFill="1" applyAlignment="1">
      <alignment horizontal="center" vertical="center" wrapText="1"/>
      <protection/>
    </xf>
    <xf numFmtId="172" fontId="2" fillId="0" borderId="1" xfId="1161" applyNumberFormat="1" applyFont="1" applyFill="1" applyBorder="1" applyAlignment="1">
      <alignment horizontal="center" vertical="center" wrapText="1"/>
    </xf>
    <xf numFmtId="3" fontId="2" fillId="0" borderId="0" xfId="1659" applyNumberFormat="1" applyFont="1" applyFill="1" applyBorder="1" applyAlignment="1">
      <alignment horizontal="center" vertical="center" wrapText="1"/>
      <protection/>
    </xf>
    <xf numFmtId="3" fontId="2" fillId="0" borderId="0" xfId="1659" applyNumberFormat="1" applyFont="1" applyFill="1" applyBorder="1" applyAlignment="1">
      <alignment horizontal="center" vertical="center" wrapText="1"/>
      <protection/>
    </xf>
    <xf numFmtId="3" fontId="2" fillId="0" borderId="1" xfId="1659" applyNumberFormat="1" applyFont="1" applyFill="1" applyBorder="1" applyAlignment="1">
      <alignment vertical="center" wrapText="1"/>
      <protection/>
    </xf>
    <xf numFmtId="3" fontId="4" fillId="0" borderId="1" xfId="1659" applyNumberFormat="1" applyFont="1" applyFill="1" applyBorder="1" applyAlignment="1">
      <alignment vertical="center" wrapText="1"/>
      <protection/>
    </xf>
    <xf numFmtId="3" fontId="2" fillId="0" borderId="1" xfId="1659" applyNumberFormat="1" applyFont="1" applyFill="1" applyBorder="1" applyAlignment="1">
      <alignment vertical="center" wrapText="1"/>
      <protection/>
    </xf>
    <xf numFmtId="172" fontId="2" fillId="0" borderId="1" xfId="1161" applyNumberFormat="1" applyFont="1" applyFill="1" applyBorder="1" applyAlignment="1">
      <alignment vertical="center" wrapText="1"/>
    </xf>
    <xf numFmtId="172" fontId="2" fillId="0" borderId="1" xfId="1161" applyNumberFormat="1" applyFont="1" applyFill="1" applyBorder="1" applyAlignment="1">
      <alignment vertical="center" wrapText="1"/>
    </xf>
    <xf numFmtId="3" fontId="2" fillId="0" borderId="1" xfId="1659" applyNumberFormat="1" applyFont="1" applyFill="1" applyBorder="1" applyAlignment="1" quotePrefix="1">
      <alignment horizontal="center" vertical="center" wrapText="1"/>
      <protection/>
    </xf>
    <xf numFmtId="3" fontId="2" fillId="0" borderId="1" xfId="1659" applyNumberFormat="1" applyFont="1" applyFill="1" applyBorder="1" applyAlignment="1" quotePrefix="1">
      <alignment horizontal="center" vertical="center" wrapText="1"/>
      <protection/>
    </xf>
    <xf numFmtId="0" fontId="2" fillId="0" borderId="1" xfId="1556" applyFont="1" applyFill="1" applyBorder="1" applyAlignment="1">
      <alignment horizontal="center" vertical="center"/>
      <protection/>
    </xf>
    <xf numFmtId="172" fontId="2" fillId="0" borderId="1" xfId="1161" applyNumberFormat="1" applyFont="1" applyFill="1" applyBorder="1" applyAlignment="1" quotePrefix="1">
      <alignment horizontal="center" vertical="center" wrapText="1"/>
    </xf>
    <xf numFmtId="3" fontId="2" fillId="0" borderId="28" xfId="1659" applyNumberFormat="1" applyFont="1" applyFill="1" applyBorder="1" applyAlignment="1" quotePrefix="1">
      <alignment horizontal="center" vertical="center" wrapText="1"/>
      <protection/>
    </xf>
    <xf numFmtId="3" fontId="2" fillId="0" borderId="1" xfId="1659" applyNumberFormat="1" applyFont="1" applyFill="1" applyBorder="1" applyAlignment="1" quotePrefix="1">
      <alignment vertical="center" wrapText="1"/>
      <protection/>
    </xf>
    <xf numFmtId="3" fontId="2" fillId="0" borderId="0" xfId="1659" applyNumberFormat="1" applyFont="1" applyFill="1" applyBorder="1" applyAlignment="1">
      <alignment vertical="center" wrapText="1"/>
      <protection/>
    </xf>
    <xf numFmtId="172" fontId="1" fillId="0" borderId="39" xfId="1161" applyNumberFormat="1" applyFont="1" applyFill="1" applyBorder="1" applyAlignment="1">
      <alignment horizontal="center" vertical="center" wrapText="1"/>
    </xf>
    <xf numFmtId="172" fontId="1" fillId="0" borderId="1" xfId="1161" applyNumberFormat="1" applyFont="1" applyFill="1" applyBorder="1" applyAlignment="1">
      <alignment horizontal="center" vertical="center" wrapText="1"/>
    </xf>
    <xf numFmtId="172" fontId="1" fillId="0" borderId="1" xfId="1161" applyNumberFormat="1" applyFont="1" applyFill="1" applyBorder="1" applyAlignment="1">
      <alignment vertical="center" wrapText="1"/>
    </xf>
    <xf numFmtId="3" fontId="1" fillId="0" borderId="0" xfId="1659" applyNumberFormat="1" applyFont="1" applyFill="1" applyBorder="1" applyAlignment="1">
      <alignment vertical="center" wrapText="1"/>
      <protection/>
    </xf>
    <xf numFmtId="172" fontId="2" fillId="0" borderId="39" xfId="1161" applyNumberFormat="1" applyFont="1" applyFill="1" applyBorder="1" applyAlignment="1">
      <alignment horizontal="center" vertical="center" wrapText="1"/>
    </xf>
    <xf numFmtId="172" fontId="2" fillId="0" borderId="1" xfId="1161" applyNumberFormat="1" applyFont="1" applyFill="1" applyBorder="1" applyAlignment="1">
      <alignment horizontal="center" vertical="center" wrapText="1"/>
    </xf>
    <xf numFmtId="3" fontId="2" fillId="0" borderId="0" xfId="1659" applyNumberFormat="1" applyFont="1" applyFill="1" applyBorder="1" applyAlignment="1">
      <alignment vertical="center" wrapText="1"/>
      <protection/>
    </xf>
    <xf numFmtId="1" fontId="1" fillId="0" borderId="0" xfId="1659" applyNumberFormat="1" applyFont="1" applyFill="1" applyAlignment="1">
      <alignment vertical="center"/>
      <protection/>
    </xf>
    <xf numFmtId="1" fontId="2" fillId="0" borderId="0" xfId="1659" applyNumberFormat="1" applyFont="1" applyFill="1" applyAlignment="1">
      <alignment vertical="center"/>
      <protection/>
    </xf>
    <xf numFmtId="0" fontId="2" fillId="0" borderId="0" xfId="1556" applyFont="1" applyFill="1" applyAlignment="1">
      <alignment vertical="center"/>
      <protection/>
    </xf>
    <xf numFmtId="3" fontId="2" fillId="0" borderId="39" xfId="1659" applyNumberFormat="1" applyFont="1" applyFill="1" applyBorder="1" applyAlignment="1">
      <alignment horizontal="center" vertical="center" wrapText="1"/>
      <protection/>
    </xf>
    <xf numFmtId="0" fontId="2" fillId="0" borderId="1" xfId="1556" applyFont="1" applyFill="1" applyBorder="1" applyAlignment="1">
      <alignment vertical="center"/>
      <protection/>
    </xf>
    <xf numFmtId="3" fontId="1" fillId="0" borderId="39" xfId="1659" applyNumberFormat="1" applyFont="1" applyFill="1" applyBorder="1" applyAlignment="1">
      <alignment horizontal="center" vertical="center" wrapText="1"/>
      <protection/>
    </xf>
    <xf numFmtId="3" fontId="1" fillId="0" borderId="1" xfId="1659" applyNumberFormat="1" applyFont="1" applyFill="1" applyBorder="1" applyAlignment="1">
      <alignment horizontal="center" vertical="center" wrapText="1"/>
      <protection/>
    </xf>
    <xf numFmtId="172" fontId="171" fillId="0" borderId="1" xfId="1161" applyNumberFormat="1" applyFont="1" applyFill="1" applyBorder="1" applyAlignment="1">
      <alignment horizontal="center" vertical="center" wrapText="1"/>
    </xf>
    <xf numFmtId="172" fontId="171" fillId="0" borderId="1" xfId="1161" applyNumberFormat="1" applyFont="1" applyFill="1" applyBorder="1" applyAlignment="1">
      <alignment vertical="center" wrapText="1"/>
    </xf>
    <xf numFmtId="1" fontId="2" fillId="0" borderId="0" xfId="1659" applyNumberFormat="1" applyFont="1" applyFill="1" applyAlignment="1">
      <alignment vertical="center"/>
      <protection/>
    </xf>
    <xf numFmtId="0" fontId="0" fillId="0" borderId="0" xfId="1556" applyFont="1" applyFill="1" applyAlignment="1">
      <alignment horizontal="center" vertical="center" wrapText="1"/>
      <protection/>
    </xf>
    <xf numFmtId="0" fontId="2" fillId="0" borderId="0" xfId="1556" applyFont="1" applyFill="1" applyAlignment="1">
      <alignment horizontal="left" vertical="center" wrapText="1"/>
      <protection/>
    </xf>
    <xf numFmtId="0" fontId="2" fillId="0" borderId="0" xfId="1556" applyFont="1" applyFill="1" applyAlignment="1">
      <alignment horizontal="center" vertical="center"/>
      <protection/>
    </xf>
    <xf numFmtId="0" fontId="2" fillId="0" borderId="0" xfId="1556" applyFont="1" applyFill="1" applyAlignment="1">
      <alignment horizontal="center" vertical="center"/>
      <protection/>
    </xf>
    <xf numFmtId="172" fontId="2" fillId="0" borderId="0" xfId="1161" applyNumberFormat="1" applyFont="1" applyFill="1" applyAlignment="1">
      <alignment vertical="center"/>
    </xf>
    <xf numFmtId="0" fontId="2" fillId="0" borderId="1" xfId="1556" applyFont="1" applyFill="1" applyBorder="1" applyAlignment="1">
      <alignment horizontal="center" vertical="center"/>
      <protection/>
    </xf>
    <xf numFmtId="1" fontId="2" fillId="0" borderId="0" xfId="1659" applyNumberFormat="1" applyFont="1" applyFill="1" applyAlignment="1">
      <alignment horizontal="left" vertical="center" wrapText="1"/>
      <protection/>
    </xf>
    <xf numFmtId="1" fontId="2" fillId="0" borderId="0" xfId="1659" applyNumberFormat="1" applyFont="1" applyFill="1" applyAlignment="1">
      <alignment horizontal="center" vertical="center"/>
      <protection/>
    </xf>
    <xf numFmtId="1" fontId="2" fillId="0" borderId="0" xfId="1659" applyNumberFormat="1" applyFont="1" applyFill="1" applyAlignment="1">
      <alignment horizontal="center" vertical="center"/>
      <protection/>
    </xf>
    <xf numFmtId="1" fontId="2" fillId="0" borderId="0" xfId="1659" applyNumberFormat="1" applyFont="1" applyFill="1" applyAlignment="1">
      <alignment horizontal="right" vertical="center"/>
      <protection/>
    </xf>
    <xf numFmtId="172" fontId="2" fillId="0" borderId="0" xfId="1161" applyNumberFormat="1" applyFont="1" applyFill="1" applyAlignment="1">
      <alignment horizontal="right" vertical="center"/>
    </xf>
    <xf numFmtId="1" fontId="2" fillId="0" borderId="1" xfId="1659" applyNumberFormat="1" applyFont="1" applyFill="1" applyBorder="1" applyAlignment="1">
      <alignment horizontal="center" vertical="center"/>
      <protection/>
    </xf>
    <xf numFmtId="1" fontId="2" fillId="0" borderId="0" xfId="1659" applyNumberFormat="1" applyFont="1" applyFill="1" applyAlignment="1">
      <alignment horizontal="center" vertical="center" wrapText="1"/>
      <protection/>
    </xf>
    <xf numFmtId="3" fontId="171" fillId="0" borderId="39" xfId="1659" applyNumberFormat="1" applyFont="1" applyFill="1" applyBorder="1" applyAlignment="1">
      <alignment horizontal="center" vertical="center" wrapText="1"/>
      <protection/>
    </xf>
    <xf numFmtId="3" fontId="171" fillId="0" borderId="1" xfId="1659" applyNumberFormat="1" applyFont="1" applyFill="1" applyBorder="1" applyAlignment="1">
      <alignment horizontal="center" vertical="center" wrapText="1"/>
      <protection/>
    </xf>
    <xf numFmtId="1" fontId="171" fillId="0" borderId="0" xfId="1659" applyNumberFormat="1" applyFont="1" applyFill="1" applyAlignment="1">
      <alignment vertical="center"/>
      <protection/>
    </xf>
    <xf numFmtId="172" fontId="2" fillId="0" borderId="40" xfId="1161" applyNumberFormat="1" applyFont="1" applyFill="1" applyBorder="1" applyAlignment="1">
      <alignment horizontal="center" vertical="center" wrapText="1"/>
    </xf>
    <xf numFmtId="172" fontId="2" fillId="0" borderId="0" xfId="1161" applyNumberFormat="1" applyFont="1" applyFill="1" applyBorder="1" applyAlignment="1">
      <alignment vertical="center" wrapText="1"/>
    </xf>
    <xf numFmtId="3" fontId="1" fillId="0" borderId="1" xfId="1659" applyNumberFormat="1" applyFont="1" applyFill="1" applyBorder="1" applyAlignment="1" quotePrefix="1">
      <alignment horizontal="center" vertical="center" wrapText="1"/>
      <protection/>
    </xf>
    <xf numFmtId="172" fontId="15" fillId="0" borderId="1" xfId="1161" applyNumberFormat="1" applyFont="1" applyFill="1" applyBorder="1" applyAlignment="1" quotePrefix="1">
      <alignment vertical="center" wrapText="1"/>
    </xf>
    <xf numFmtId="3" fontId="15" fillId="0" borderId="1" xfId="1659" applyNumberFormat="1" applyFont="1" applyFill="1" applyBorder="1" applyAlignment="1" quotePrefix="1">
      <alignment vertical="center" wrapText="1"/>
      <protection/>
    </xf>
    <xf numFmtId="0" fontId="15" fillId="0" borderId="1" xfId="1556" applyFont="1" applyFill="1" applyBorder="1" applyAlignment="1">
      <alignment vertical="center"/>
      <protection/>
    </xf>
    <xf numFmtId="3" fontId="8" fillId="0" borderId="1" xfId="1659" applyNumberFormat="1" applyFont="1" applyFill="1" applyBorder="1" applyAlignment="1" quotePrefix="1">
      <alignment vertical="center" wrapText="1"/>
      <protection/>
    </xf>
    <xf numFmtId="0" fontId="8" fillId="0" borderId="1" xfId="1556" applyFont="1" applyFill="1" applyBorder="1" applyAlignment="1">
      <alignment vertical="center"/>
      <protection/>
    </xf>
    <xf numFmtId="172" fontId="8" fillId="0" borderId="1" xfId="1161" applyNumberFormat="1" applyFont="1" applyFill="1" applyBorder="1" applyAlignment="1" quotePrefix="1">
      <alignment vertical="center" wrapText="1"/>
    </xf>
    <xf numFmtId="0" fontId="1" fillId="0" borderId="1" xfId="1481" applyFont="1" applyFill="1" applyBorder="1" applyAlignment="1">
      <alignment vertical="center" wrapText="1"/>
      <protection/>
    </xf>
    <xf numFmtId="1" fontId="2" fillId="0" borderId="1" xfId="1659" applyNumberFormat="1" applyFont="1" applyFill="1" applyBorder="1" applyAlignment="1">
      <alignment horizontal="center" vertical="center" wrapText="1"/>
      <protection/>
    </xf>
    <xf numFmtId="0" fontId="2" fillId="0" borderId="1" xfId="1556" applyFont="1" applyFill="1" applyBorder="1" applyAlignment="1" quotePrefix="1">
      <alignment horizontal="center" vertical="center" wrapText="1"/>
      <protection/>
    </xf>
    <xf numFmtId="0" fontId="2" fillId="0" borderId="1" xfId="1481" applyFont="1" applyFill="1" applyBorder="1" applyAlignment="1">
      <alignment vertical="center" wrapText="1"/>
      <protection/>
    </xf>
    <xf numFmtId="172" fontId="173" fillId="0" borderId="39" xfId="1161" applyNumberFormat="1" applyFont="1" applyFill="1" applyBorder="1" applyAlignment="1">
      <alignment horizontal="center" vertical="center" wrapText="1"/>
    </xf>
    <xf numFmtId="3" fontId="171" fillId="0" borderId="0" xfId="1659" applyNumberFormat="1" applyFont="1" applyFill="1" applyBorder="1" applyAlignment="1">
      <alignment vertical="center" wrapText="1"/>
      <protection/>
    </xf>
    <xf numFmtId="3" fontId="2" fillId="0" borderId="28" xfId="1659" applyNumberFormat="1" applyFont="1" applyFill="1" applyBorder="1" applyAlignment="1">
      <alignment horizontal="center" vertical="center" wrapText="1"/>
      <protection/>
    </xf>
    <xf numFmtId="1" fontId="4" fillId="0" borderId="5" xfId="1659" applyNumberFormat="1" applyFont="1" applyFill="1" applyBorder="1" applyAlignment="1">
      <alignment horizontal="center" vertical="center"/>
      <protection/>
    </xf>
    <xf numFmtId="0" fontId="171" fillId="0" borderId="1" xfId="1556" applyFont="1" applyFill="1" applyBorder="1" applyAlignment="1" quotePrefix="1">
      <alignment horizontal="center" vertical="center" wrapText="1"/>
      <protection/>
    </xf>
    <xf numFmtId="0" fontId="171" fillId="0" borderId="1" xfId="1481" applyFont="1" applyFill="1" applyBorder="1" applyAlignment="1">
      <alignment vertical="center" wrapText="1"/>
      <protection/>
    </xf>
    <xf numFmtId="3" fontId="171" fillId="0" borderId="1" xfId="1659" applyNumberFormat="1" applyFont="1" applyFill="1" applyBorder="1" applyAlignment="1" quotePrefix="1">
      <alignment horizontal="center" vertical="center" wrapText="1"/>
      <protection/>
    </xf>
    <xf numFmtId="3" fontId="172" fillId="0" borderId="1" xfId="1659" applyNumberFormat="1" applyFont="1" applyFill="1" applyBorder="1" applyAlignment="1" quotePrefix="1">
      <alignment vertical="center" wrapText="1"/>
      <protection/>
    </xf>
    <xf numFmtId="0" fontId="1" fillId="0" borderId="1" xfId="1556" applyFont="1" applyFill="1" applyBorder="1" applyAlignment="1">
      <alignment horizontal="center" vertical="center" wrapText="1"/>
      <protection/>
    </xf>
    <xf numFmtId="172" fontId="2" fillId="54" borderId="1" xfId="1161" applyNumberFormat="1" applyFont="1" applyFill="1" applyBorder="1" applyAlignment="1">
      <alignment horizontal="center" vertical="center" wrapText="1"/>
    </xf>
    <xf numFmtId="172" fontId="2" fillId="54" borderId="39" xfId="1161" applyNumberFormat="1" applyFont="1" applyFill="1" applyBorder="1" applyAlignment="1">
      <alignment horizontal="center" vertical="center" wrapText="1"/>
    </xf>
    <xf numFmtId="172" fontId="2" fillId="54" borderId="1" xfId="1161" applyNumberFormat="1" applyFont="1" applyFill="1" applyBorder="1" applyAlignment="1">
      <alignment vertical="center" wrapText="1"/>
    </xf>
    <xf numFmtId="3" fontId="1" fillId="54" borderId="0" xfId="1659" applyNumberFormat="1" applyFont="1" applyFill="1" applyBorder="1" applyAlignment="1">
      <alignment vertical="center" wrapText="1"/>
      <protection/>
    </xf>
    <xf numFmtId="0" fontId="2" fillId="54" borderId="0" xfId="1556" applyFont="1" applyFill="1" applyAlignment="1">
      <alignment vertical="center"/>
      <protection/>
    </xf>
    <xf numFmtId="172" fontId="8" fillId="54" borderId="41" xfId="1161" applyNumberFormat="1" applyFont="1" applyFill="1" applyBorder="1" applyAlignment="1">
      <alignment vertical="center" wrapText="1"/>
    </xf>
    <xf numFmtId="172" fontId="2" fillId="54" borderId="41" xfId="1161" applyNumberFormat="1" applyFont="1" applyFill="1" applyBorder="1" applyAlignment="1">
      <alignment horizontal="center" vertical="center" wrapText="1"/>
    </xf>
    <xf numFmtId="1" fontId="1" fillId="54" borderId="0" xfId="1659" applyNumberFormat="1" applyFont="1" applyFill="1" applyAlignment="1">
      <alignment vertical="center"/>
      <protection/>
    </xf>
    <xf numFmtId="3" fontId="171" fillId="0" borderId="39" xfId="1659" applyNumberFormat="1" applyFont="1" applyFill="1" applyBorder="1" applyAlignment="1">
      <alignment horizontal="center" vertical="center" wrapText="1"/>
      <protection/>
    </xf>
    <xf numFmtId="3" fontId="171" fillId="0" borderId="1" xfId="1659" applyNumberFormat="1" applyFont="1" applyFill="1" applyBorder="1" applyAlignment="1">
      <alignment horizontal="center" vertical="center" wrapText="1"/>
      <protection/>
    </xf>
    <xf numFmtId="172" fontId="171" fillId="0" borderId="1" xfId="1161" applyNumberFormat="1" applyFont="1" applyFill="1" applyBorder="1" applyAlignment="1">
      <alignment horizontal="center" vertical="center" wrapText="1"/>
    </xf>
    <xf numFmtId="172" fontId="171" fillId="0" borderId="1" xfId="1161" applyNumberFormat="1" applyFont="1" applyFill="1" applyBorder="1" applyAlignment="1">
      <alignment vertical="center" wrapText="1"/>
    </xf>
    <xf numFmtId="3" fontId="171" fillId="0" borderId="0" xfId="1659" applyNumberFormat="1" applyFont="1" applyFill="1" applyBorder="1" applyAlignment="1">
      <alignment vertical="center" wrapText="1"/>
      <protection/>
    </xf>
    <xf numFmtId="1" fontId="171" fillId="0" borderId="0" xfId="1659" applyNumberFormat="1" applyFont="1" applyFill="1" applyAlignment="1">
      <alignment vertical="center"/>
      <protection/>
    </xf>
    <xf numFmtId="0" fontId="150" fillId="54" borderId="0" xfId="1570" applyFont="1" applyFill="1" applyAlignment="1">
      <alignment horizontal="center"/>
      <protection/>
    </xf>
    <xf numFmtId="0" fontId="150" fillId="54" borderId="0" xfId="1570" applyFont="1" applyFill="1">
      <alignment/>
      <protection/>
    </xf>
    <xf numFmtId="1" fontId="159" fillId="54" borderId="0" xfId="1659" applyNumberFormat="1" applyFont="1" applyFill="1" applyAlignment="1">
      <alignment vertical="center" wrapText="1"/>
      <protection/>
    </xf>
    <xf numFmtId="1" fontId="160" fillId="54" borderId="0" xfId="1659" applyNumberFormat="1" applyFont="1" applyFill="1" applyAlignment="1">
      <alignment vertical="center" wrapText="1"/>
      <protection/>
    </xf>
    <xf numFmtId="1" fontId="168" fillId="54" borderId="0" xfId="1659" applyNumberFormat="1" applyFont="1" applyFill="1" applyAlignment="1">
      <alignment vertical="center" wrapText="1"/>
      <protection/>
    </xf>
    <xf numFmtId="1" fontId="159" fillId="54" borderId="0" xfId="1659" applyNumberFormat="1" applyFont="1" applyFill="1" applyAlignment="1">
      <alignment horizontal="right" vertical="center" wrapText="1"/>
      <protection/>
    </xf>
    <xf numFmtId="3" fontId="150" fillId="54" borderId="0" xfId="1570" applyNumberFormat="1" applyFont="1" applyFill="1">
      <alignment/>
      <protection/>
    </xf>
    <xf numFmtId="3" fontId="154" fillId="54" borderId="1" xfId="1659" applyNumberFormat="1" applyFont="1" applyFill="1" applyBorder="1" applyAlignment="1" quotePrefix="1">
      <alignment horizontal="center" vertical="center" wrapText="1"/>
      <protection/>
    </xf>
    <xf numFmtId="3" fontId="167" fillId="54" borderId="1" xfId="1659" applyNumberFormat="1" applyFont="1" applyFill="1" applyBorder="1" applyAlignment="1" quotePrefix="1">
      <alignment horizontal="center" vertical="center" wrapText="1"/>
      <protection/>
    </xf>
    <xf numFmtId="49" fontId="152" fillId="54" borderId="21" xfId="1659" applyNumberFormat="1" applyFont="1" applyFill="1" applyBorder="1" applyAlignment="1">
      <alignment horizontal="center" vertical="center"/>
      <protection/>
    </xf>
    <xf numFmtId="1" fontId="152" fillId="54" borderId="21" xfId="1659" applyNumberFormat="1" applyFont="1" applyFill="1" applyBorder="1" applyAlignment="1">
      <alignment vertical="center" wrapText="1"/>
      <protection/>
    </xf>
    <xf numFmtId="1" fontId="149" fillId="54" borderId="21" xfId="1659" applyNumberFormat="1" applyFont="1" applyFill="1" applyBorder="1" applyAlignment="1">
      <alignment horizontal="center" vertical="center" wrapText="1"/>
      <protection/>
    </xf>
    <xf numFmtId="1" fontId="16" fillId="54" borderId="21" xfId="1659" applyNumberFormat="1" applyFont="1" applyFill="1" applyBorder="1" applyAlignment="1">
      <alignment horizontal="center" vertical="center" wrapText="1"/>
      <protection/>
    </xf>
    <xf numFmtId="3" fontId="152" fillId="54" borderId="21" xfId="1659" applyNumberFormat="1" applyFont="1" applyFill="1" applyBorder="1" applyAlignment="1">
      <alignment horizontal="right" vertical="center"/>
      <protection/>
    </xf>
    <xf numFmtId="3" fontId="165" fillId="54" borderId="21" xfId="1659" applyNumberFormat="1" applyFont="1" applyFill="1" applyBorder="1" applyAlignment="1">
      <alignment horizontal="right" vertical="center"/>
      <protection/>
    </xf>
    <xf numFmtId="1" fontId="151" fillId="54" borderId="21" xfId="1659" applyNumberFormat="1" applyFont="1" applyFill="1" applyBorder="1" applyAlignment="1">
      <alignment horizontal="right" vertical="center"/>
      <protection/>
    </xf>
    <xf numFmtId="49" fontId="149" fillId="54" borderId="21" xfId="1659" applyNumberFormat="1" applyFont="1" applyFill="1" applyBorder="1" applyAlignment="1">
      <alignment horizontal="center" vertical="center"/>
      <protection/>
    </xf>
    <xf numFmtId="1" fontId="149" fillId="54" borderId="21" xfId="1659" applyNumberFormat="1" applyFont="1" applyFill="1" applyBorder="1" applyAlignment="1">
      <alignment vertical="center" wrapText="1"/>
      <protection/>
    </xf>
    <xf numFmtId="1" fontId="151" fillId="54" borderId="21" xfId="1659" applyNumberFormat="1" applyFont="1" applyFill="1" applyBorder="1" applyAlignment="1" quotePrefix="1">
      <alignment horizontal="center" vertical="center" wrapText="1"/>
      <protection/>
    </xf>
    <xf numFmtId="1" fontId="152" fillId="54" borderId="21" xfId="1659" applyNumberFormat="1" applyFont="1" applyFill="1" applyBorder="1" applyAlignment="1">
      <alignment horizontal="center" vertical="center" wrapText="1"/>
      <protection/>
    </xf>
    <xf numFmtId="1" fontId="16" fillId="54" borderId="21" xfId="1659" applyNumberFormat="1" applyFont="1" applyFill="1" applyBorder="1" applyAlignment="1" quotePrefix="1">
      <alignment horizontal="center" vertical="center" wrapText="1"/>
      <protection/>
    </xf>
    <xf numFmtId="3" fontId="149" fillId="54" borderId="21" xfId="1659" applyNumberFormat="1" applyFont="1" applyFill="1" applyBorder="1" applyAlignment="1">
      <alignment horizontal="right" vertical="center"/>
      <protection/>
    </xf>
    <xf numFmtId="3" fontId="164" fillId="54" borderId="21" xfId="1659" applyNumberFormat="1" applyFont="1" applyFill="1" applyBorder="1" applyAlignment="1">
      <alignment horizontal="right" vertical="center"/>
      <protection/>
    </xf>
    <xf numFmtId="1" fontId="152" fillId="54" borderId="21" xfId="1659" applyNumberFormat="1" applyFont="1" applyFill="1" applyBorder="1" applyAlignment="1">
      <alignment vertical="center" wrapText="1"/>
      <protection/>
    </xf>
    <xf numFmtId="49" fontId="152" fillId="54" borderId="21" xfId="1659" applyNumberFormat="1" applyFont="1" applyFill="1" applyBorder="1" applyAlignment="1">
      <alignment horizontal="center" vertical="center"/>
      <protection/>
    </xf>
    <xf numFmtId="3" fontId="152" fillId="54" borderId="21" xfId="1659" applyNumberFormat="1" applyFont="1" applyFill="1" applyBorder="1" applyAlignment="1">
      <alignment horizontal="right" vertical="center"/>
      <protection/>
    </xf>
    <xf numFmtId="3" fontId="165" fillId="54" borderId="21" xfId="1659" applyNumberFormat="1" applyFont="1" applyFill="1" applyBorder="1" applyAlignment="1">
      <alignment horizontal="right" vertical="center"/>
      <protection/>
    </xf>
    <xf numFmtId="49" fontId="16" fillId="54" borderId="42" xfId="1659" applyNumberFormat="1" applyFont="1" applyFill="1" applyBorder="1" applyAlignment="1">
      <alignment horizontal="center" vertical="center"/>
      <protection/>
    </xf>
    <xf numFmtId="1" fontId="149" fillId="54" borderId="42" xfId="1659" applyNumberFormat="1" applyFont="1" applyFill="1" applyBorder="1" applyAlignment="1">
      <alignment vertical="center" wrapText="1"/>
      <protection/>
    </xf>
    <xf numFmtId="1" fontId="149" fillId="54" borderId="42" xfId="1659" applyNumberFormat="1" applyFont="1" applyFill="1" applyBorder="1" applyAlignment="1">
      <alignment horizontal="center" vertical="center" wrapText="1"/>
      <protection/>
    </xf>
    <xf numFmtId="3" fontId="149" fillId="54" borderId="42" xfId="1659" applyNumberFormat="1" applyFont="1" applyFill="1" applyBorder="1" applyAlignment="1">
      <alignment horizontal="right" vertical="center"/>
      <protection/>
    </xf>
    <xf numFmtId="3" fontId="164" fillId="54" borderId="42" xfId="1659" applyNumberFormat="1" applyFont="1" applyFill="1" applyBorder="1" applyAlignment="1">
      <alignment horizontal="right" vertical="center"/>
      <protection/>
    </xf>
    <xf numFmtId="1" fontId="151" fillId="54" borderId="42" xfId="1659" applyNumberFormat="1" applyFont="1" applyFill="1" applyBorder="1" applyAlignment="1">
      <alignment horizontal="right" vertical="center"/>
      <protection/>
    </xf>
    <xf numFmtId="0" fontId="163" fillId="54" borderId="0" xfId="1570" applyFont="1" applyFill="1">
      <alignment/>
      <protection/>
    </xf>
    <xf numFmtId="0" fontId="179" fillId="54" borderId="0" xfId="1570" applyFont="1" applyFill="1" applyAlignment="1">
      <alignment horizontal="center"/>
      <protection/>
    </xf>
    <xf numFmtId="0" fontId="179" fillId="54" borderId="0" xfId="1570" applyFont="1" applyFill="1">
      <alignment/>
      <protection/>
    </xf>
    <xf numFmtId="0" fontId="163" fillId="0" borderId="0" xfId="1570" applyFont="1" applyAlignment="1">
      <alignment horizontal="center"/>
      <protection/>
    </xf>
    <xf numFmtId="0" fontId="163" fillId="0" borderId="0" xfId="1570" applyFont="1">
      <alignment/>
      <protection/>
    </xf>
    <xf numFmtId="0" fontId="163" fillId="54" borderId="0" xfId="1570" applyFont="1" applyFill="1" applyAlignment="1">
      <alignment horizontal="center"/>
      <protection/>
    </xf>
    <xf numFmtId="0" fontId="163" fillId="54" borderId="0" xfId="1570" applyFont="1" applyFill="1">
      <alignment/>
      <protection/>
    </xf>
    <xf numFmtId="3" fontId="151" fillId="54" borderId="39" xfId="1659" applyNumberFormat="1" applyFont="1" applyFill="1" applyBorder="1" applyAlignment="1">
      <alignment horizontal="center" vertical="center"/>
      <protection/>
    </xf>
    <xf numFmtId="3" fontId="151" fillId="54" borderId="0" xfId="1659" applyNumberFormat="1" applyFont="1" applyFill="1" applyBorder="1" applyAlignment="1">
      <alignment horizontal="center" vertical="center"/>
      <protection/>
    </xf>
    <xf numFmtId="3" fontId="172" fillId="0" borderId="1" xfId="1659" applyNumberFormat="1" applyFont="1" applyFill="1" applyBorder="1" applyAlignment="1" quotePrefix="1">
      <alignment vertical="center" wrapText="1"/>
      <protection/>
    </xf>
    <xf numFmtId="3" fontId="172" fillId="0" borderId="1" xfId="1659" applyNumberFormat="1" applyFont="1" applyFill="1" applyBorder="1" applyAlignment="1" quotePrefix="1">
      <alignment vertical="center" wrapText="1"/>
      <protection/>
    </xf>
    <xf numFmtId="172" fontId="15" fillId="0" borderId="1" xfId="1161" applyNumberFormat="1" applyFont="1" applyFill="1" applyBorder="1" applyAlignment="1" quotePrefix="1">
      <alignment horizontal="right" vertical="center" wrapText="1"/>
    </xf>
    <xf numFmtId="3" fontId="171" fillId="0" borderId="1" xfId="1659" applyNumberFormat="1" applyFont="1" applyFill="1" applyBorder="1" applyAlignment="1" quotePrefix="1">
      <alignment horizontal="center" vertical="center" wrapText="1"/>
      <protection/>
    </xf>
    <xf numFmtId="0" fontId="171" fillId="0" borderId="1" xfId="1482" applyFont="1" applyFill="1" applyBorder="1" applyAlignment="1">
      <alignment vertical="center" wrapText="1"/>
      <protection/>
    </xf>
    <xf numFmtId="0" fontId="171" fillId="0" borderId="1" xfId="1556" applyFont="1" applyFill="1" applyBorder="1" applyAlignment="1">
      <alignment horizontal="center" vertical="center"/>
      <protection/>
    </xf>
    <xf numFmtId="3" fontId="171" fillId="0" borderId="1" xfId="1659" applyNumberFormat="1" applyFont="1" applyFill="1" applyBorder="1" applyAlignment="1">
      <alignment horizontal="center" vertical="center" wrapText="1"/>
      <protection/>
    </xf>
    <xf numFmtId="172" fontId="173" fillId="0" borderId="39" xfId="1161" applyNumberFormat="1" applyFont="1" applyFill="1" applyBorder="1" applyAlignment="1">
      <alignment horizontal="center" vertical="center" wrapText="1"/>
    </xf>
    <xf numFmtId="0" fontId="171" fillId="0" borderId="1" xfId="1482" applyFont="1" applyFill="1" applyBorder="1" applyAlignment="1">
      <alignment vertical="center" wrapText="1"/>
      <protection/>
    </xf>
    <xf numFmtId="0" fontId="2" fillId="54" borderId="1" xfId="1556" applyFont="1" applyFill="1" applyBorder="1" applyAlignment="1">
      <alignment horizontal="center" vertical="center"/>
      <protection/>
    </xf>
    <xf numFmtId="0" fontId="2" fillId="54" borderId="1" xfId="17" applyFont="1" applyFill="1" applyBorder="1" applyAlignment="1">
      <alignment vertical="center" wrapText="1"/>
      <protection/>
    </xf>
    <xf numFmtId="3" fontId="97" fillId="54" borderId="1" xfId="1659" applyNumberFormat="1" applyFont="1" applyFill="1" applyBorder="1" applyAlignment="1">
      <alignment horizontal="center" vertical="center" wrapText="1"/>
      <protection/>
    </xf>
    <xf numFmtId="3" fontId="171" fillId="0" borderId="1" xfId="1659" applyNumberFormat="1" applyFont="1" applyFill="1" applyBorder="1" applyAlignment="1">
      <alignment horizontal="center" vertical="center" wrapText="1"/>
      <protection/>
    </xf>
    <xf numFmtId="172" fontId="2" fillId="55" borderId="39" xfId="1161" applyNumberFormat="1" applyFont="1" applyFill="1" applyBorder="1" applyAlignment="1">
      <alignment horizontal="center" vertical="center" wrapText="1"/>
    </xf>
    <xf numFmtId="172" fontId="2" fillId="55" borderId="1" xfId="1161" applyNumberFormat="1" applyFont="1" applyFill="1" applyBorder="1" applyAlignment="1">
      <alignment vertical="center" wrapText="1"/>
    </xf>
    <xf numFmtId="172" fontId="2" fillId="55" borderId="1" xfId="1161" applyNumberFormat="1" applyFont="1" applyFill="1" applyBorder="1" applyAlignment="1">
      <alignment horizontal="center" vertical="center" wrapText="1"/>
    </xf>
    <xf numFmtId="172" fontId="8" fillId="55" borderId="21" xfId="1161" applyNumberFormat="1" applyFont="1" applyFill="1" applyBorder="1" applyAlignment="1">
      <alignment vertical="center" wrapText="1"/>
    </xf>
    <xf numFmtId="172" fontId="2" fillId="55" borderId="21" xfId="1161" applyNumberFormat="1" applyFont="1" applyFill="1" applyBorder="1" applyAlignment="1">
      <alignment horizontal="center" vertical="center" wrapText="1"/>
    </xf>
    <xf numFmtId="0" fontId="2" fillId="55" borderId="0" xfId="1556" applyFont="1" applyFill="1" applyAlignment="1">
      <alignment vertical="center"/>
      <protection/>
    </xf>
    <xf numFmtId="172" fontId="2" fillId="0" borderId="0" xfId="1161" applyNumberFormat="1" applyFont="1" applyFill="1" applyBorder="1" applyAlignment="1">
      <alignment horizontal="center" vertical="center" wrapText="1"/>
    </xf>
    <xf numFmtId="172" fontId="8" fillId="0" borderId="21" xfId="1161" applyNumberFormat="1" applyFont="1" applyFill="1" applyBorder="1" applyAlignment="1">
      <alignment horizontal="center" vertical="center" wrapText="1"/>
    </xf>
    <xf numFmtId="3" fontId="8" fillId="0" borderId="21" xfId="1659" applyNumberFormat="1" applyFont="1" applyFill="1" applyBorder="1" applyAlignment="1" quotePrefix="1">
      <alignment horizontal="center" vertical="center" wrapText="1"/>
      <protection/>
    </xf>
    <xf numFmtId="172" fontId="2" fillId="0" borderId="21" xfId="1161" applyNumberFormat="1" applyFont="1" applyFill="1" applyBorder="1" applyAlignment="1">
      <alignment horizontal="center" vertical="center" wrapText="1"/>
    </xf>
    <xf numFmtId="3" fontId="2" fillId="0" borderId="21" xfId="1659" applyNumberFormat="1" applyFont="1" applyFill="1" applyBorder="1" applyAlignment="1" quotePrefix="1">
      <alignment horizontal="center" vertical="center" wrapText="1"/>
      <protection/>
    </xf>
    <xf numFmtId="3" fontId="1" fillId="0" borderId="43" xfId="1659" applyNumberFormat="1" applyFont="1" applyFill="1" applyBorder="1" applyAlignment="1" quotePrefix="1">
      <alignment horizontal="center" vertical="center" wrapText="1"/>
      <protection/>
    </xf>
    <xf numFmtId="3" fontId="1" fillId="0" borderId="1" xfId="1659" applyNumberFormat="1" applyFont="1" applyFill="1" applyBorder="1" applyAlignment="1" quotePrefix="1">
      <alignment horizontal="center" vertical="center" wrapText="1"/>
      <protection/>
    </xf>
    <xf numFmtId="3" fontId="1" fillId="0" borderId="0" xfId="1659" applyNumberFormat="1" applyFont="1" applyFill="1" applyBorder="1" applyAlignment="1">
      <alignment vertical="center" wrapText="1"/>
      <protection/>
    </xf>
    <xf numFmtId="0" fontId="0" fillId="0" borderId="0" xfId="1483" applyFont="1" applyFill="1" applyAlignment="1">
      <alignment vertical="center"/>
      <protection/>
    </xf>
    <xf numFmtId="3" fontId="2" fillId="0" borderId="10" xfId="1659" applyNumberFormat="1" applyFont="1" applyFill="1" applyBorder="1" applyAlignment="1">
      <alignment horizontal="center" vertical="center" wrapText="1"/>
      <protection/>
    </xf>
    <xf numFmtId="3" fontId="2" fillId="0" borderId="39" xfId="1659" applyNumberFormat="1" applyFont="1" applyFill="1" applyBorder="1" applyAlignment="1">
      <alignment horizontal="center" vertical="center" wrapText="1"/>
      <protection/>
    </xf>
    <xf numFmtId="171" fontId="4" fillId="0" borderId="0" xfId="1077" applyFont="1" applyFill="1" applyAlignment="1">
      <alignment vertical="center" wrapText="1"/>
    </xf>
    <xf numFmtId="3" fontId="1" fillId="0" borderId="1" xfId="1659" applyNumberFormat="1" applyFont="1" applyFill="1" applyBorder="1" applyAlignment="1">
      <alignment horizontal="center" vertical="center" wrapText="1"/>
      <protection/>
    </xf>
    <xf numFmtId="172" fontId="1" fillId="0" borderId="1" xfId="1161" applyNumberFormat="1" applyFont="1" applyFill="1" applyBorder="1" applyAlignment="1" quotePrefix="1">
      <alignment vertical="center" wrapText="1"/>
    </xf>
    <xf numFmtId="172" fontId="1" fillId="0" borderId="1" xfId="1161" applyNumberFormat="1" applyFont="1" applyFill="1" applyBorder="1" applyAlignment="1">
      <alignment horizontal="center" vertical="center" wrapText="1"/>
    </xf>
    <xf numFmtId="172" fontId="1" fillId="0" borderId="39" xfId="1161" applyNumberFormat="1" applyFont="1" applyFill="1" applyBorder="1" applyAlignment="1">
      <alignment horizontal="center" vertical="center" wrapText="1"/>
    </xf>
    <xf numFmtId="172" fontId="1" fillId="0" borderId="1" xfId="1161" applyNumberFormat="1" applyFont="1" applyFill="1" applyBorder="1" applyAlignment="1">
      <alignment vertical="center" wrapText="1"/>
    </xf>
    <xf numFmtId="49" fontId="1" fillId="0" borderId="1" xfId="1659" applyNumberFormat="1" applyFont="1" applyFill="1" applyBorder="1" applyAlignment="1">
      <alignment horizontal="center" vertical="center"/>
      <protection/>
    </xf>
    <xf numFmtId="1" fontId="1" fillId="0" borderId="1" xfId="1659" applyNumberFormat="1" applyFont="1" applyFill="1" applyBorder="1" applyAlignment="1">
      <alignment horizontal="left" vertical="center" wrapText="1"/>
      <protection/>
    </xf>
    <xf numFmtId="0" fontId="2" fillId="0" borderId="1" xfId="17" applyFont="1" applyFill="1" applyBorder="1" applyAlignment="1">
      <alignment horizontal="left" vertical="center" wrapText="1"/>
      <protection/>
    </xf>
    <xf numFmtId="172" fontId="2" fillId="0" borderId="1" xfId="1161" applyNumberFormat="1" applyFont="1" applyFill="1" applyBorder="1" applyAlignment="1" quotePrefix="1">
      <alignment vertical="center" wrapText="1"/>
    </xf>
    <xf numFmtId="172" fontId="2" fillId="0" borderId="39" xfId="1161" applyNumberFormat="1" applyFont="1" applyFill="1" applyBorder="1" applyAlignment="1">
      <alignment horizontal="center" vertical="center" wrapText="1"/>
    </xf>
    <xf numFmtId="3" fontId="2" fillId="0" borderId="1" xfId="17" applyNumberFormat="1" applyFont="1" applyFill="1" applyBorder="1" applyAlignment="1">
      <alignment horizontal="left" vertical="center" wrapText="1"/>
      <protection/>
    </xf>
    <xf numFmtId="0" fontId="2" fillId="0" borderId="1" xfId="17" applyNumberFormat="1" applyFont="1" applyFill="1" applyBorder="1" applyAlignment="1">
      <alignment horizontal="center" vertical="center" wrapText="1"/>
      <protection/>
    </xf>
    <xf numFmtId="1" fontId="2" fillId="0" borderId="1" xfId="1659" applyNumberFormat="1" applyFont="1" applyFill="1" applyBorder="1" applyAlignment="1">
      <alignment horizontal="center" vertical="center" wrapText="1"/>
      <protection/>
    </xf>
    <xf numFmtId="172" fontId="1" fillId="0" borderId="1" xfId="1659" applyNumberFormat="1" applyFont="1" applyFill="1" applyBorder="1" applyAlignment="1">
      <alignment horizontal="center" vertical="center" wrapText="1" shrinkToFit="1"/>
      <protection/>
    </xf>
    <xf numFmtId="172" fontId="1" fillId="0" borderId="1" xfId="1659" applyNumberFormat="1" applyFont="1" applyFill="1" applyBorder="1" applyAlignment="1">
      <alignment horizontal="left" vertical="center" shrinkToFit="1"/>
      <protection/>
    </xf>
    <xf numFmtId="0" fontId="1" fillId="0" borderId="1" xfId="1556" applyFont="1" applyFill="1" applyBorder="1" applyAlignment="1">
      <alignment horizontal="center" vertical="center"/>
      <protection/>
    </xf>
    <xf numFmtId="3" fontId="1" fillId="0" borderId="1" xfId="1659" applyNumberFormat="1" applyFont="1" applyFill="1" applyBorder="1" applyAlignment="1" quotePrefix="1">
      <alignment vertical="center" wrapText="1"/>
      <protection/>
    </xf>
    <xf numFmtId="3" fontId="1" fillId="0" borderId="39" xfId="1659" applyNumberFormat="1" applyFont="1" applyFill="1" applyBorder="1" applyAlignment="1">
      <alignment horizontal="center" vertical="center" wrapText="1"/>
      <protection/>
    </xf>
    <xf numFmtId="1" fontId="1" fillId="0" borderId="0" xfId="1659" applyNumberFormat="1" applyFont="1" applyFill="1" applyAlignment="1">
      <alignment vertical="center"/>
      <protection/>
    </xf>
    <xf numFmtId="172" fontId="174" fillId="0" borderId="1" xfId="1659" applyNumberFormat="1" applyFont="1" applyFill="1" applyBorder="1" applyAlignment="1">
      <alignment horizontal="center" vertical="center" wrapText="1" shrinkToFit="1"/>
      <protection/>
    </xf>
    <xf numFmtId="1" fontId="174" fillId="0" borderId="1" xfId="1659" applyNumberFormat="1" applyFont="1" applyFill="1" applyBorder="1" applyAlignment="1">
      <alignment vertical="center" wrapText="1"/>
      <protection/>
    </xf>
    <xf numFmtId="0" fontId="174" fillId="0" borderId="1" xfId="1556" applyFont="1" applyFill="1" applyBorder="1" applyAlignment="1">
      <alignment horizontal="center" vertical="center"/>
      <protection/>
    </xf>
    <xf numFmtId="3" fontId="174" fillId="0" borderId="1" xfId="1659" applyNumberFormat="1" applyFont="1" applyFill="1" applyBorder="1" applyAlignment="1" quotePrefix="1">
      <alignment horizontal="center" vertical="center" wrapText="1"/>
      <protection/>
    </xf>
    <xf numFmtId="3" fontId="174" fillId="0" borderId="1" xfId="1659" applyNumberFormat="1" applyFont="1" applyFill="1" applyBorder="1" applyAlignment="1">
      <alignment horizontal="center" vertical="center" wrapText="1"/>
      <protection/>
    </xf>
    <xf numFmtId="3" fontId="182" fillId="0" borderId="1" xfId="1659" applyNumberFormat="1" applyFont="1" applyFill="1" applyBorder="1" applyAlignment="1" quotePrefix="1">
      <alignment vertical="center" wrapText="1"/>
      <protection/>
    </xf>
    <xf numFmtId="3" fontId="174" fillId="0" borderId="1" xfId="1659" applyNumberFormat="1" applyFont="1" applyFill="1" applyBorder="1" applyAlignment="1" quotePrefix="1">
      <alignment vertical="center" wrapText="1"/>
      <protection/>
    </xf>
    <xf numFmtId="3" fontId="174" fillId="0" borderId="39" xfId="1659" applyNumberFormat="1" applyFont="1" applyFill="1" applyBorder="1" applyAlignment="1">
      <alignment horizontal="center" vertical="center" wrapText="1"/>
      <protection/>
    </xf>
    <xf numFmtId="172" fontId="174" fillId="0" borderId="39" xfId="1161" applyNumberFormat="1" applyFont="1" applyFill="1" applyBorder="1" applyAlignment="1">
      <alignment horizontal="center" vertical="center" wrapText="1"/>
    </xf>
    <xf numFmtId="172" fontId="174" fillId="0" borderId="1" xfId="1161" applyNumberFormat="1" applyFont="1" applyFill="1" applyBorder="1" applyAlignment="1">
      <alignment horizontal="center" vertical="center" wrapText="1"/>
    </xf>
    <xf numFmtId="172" fontId="174" fillId="0" borderId="1" xfId="1161" applyNumberFormat="1" applyFont="1" applyFill="1" applyBorder="1" applyAlignment="1">
      <alignment vertical="center" wrapText="1"/>
    </xf>
    <xf numFmtId="3" fontId="174" fillId="0" borderId="0" xfId="1659" applyNumberFormat="1" applyFont="1" applyFill="1" applyBorder="1" applyAlignment="1">
      <alignment vertical="center" wrapText="1"/>
      <protection/>
    </xf>
    <xf numFmtId="1" fontId="174" fillId="0" borderId="0" xfId="1659" applyNumberFormat="1" applyFont="1" applyFill="1" applyAlignment="1">
      <alignment vertical="center"/>
      <protection/>
    </xf>
    <xf numFmtId="172" fontId="2" fillId="0" borderId="1" xfId="1465" applyNumberFormat="1" applyFont="1" applyFill="1" applyBorder="1" applyAlignment="1">
      <alignment horizontal="left" vertical="center" wrapText="1"/>
      <protection/>
    </xf>
    <xf numFmtId="172" fontId="2" fillId="0" borderId="1" xfId="1077" applyNumberFormat="1" applyFont="1" applyFill="1" applyBorder="1" applyAlignment="1">
      <alignment horizontal="center" vertical="center" wrapText="1"/>
    </xf>
    <xf numFmtId="0" fontId="2" fillId="0" borderId="1" xfId="1556" applyFont="1" applyFill="1" applyBorder="1" applyAlignment="1">
      <alignment horizontal="center" vertical="center" wrapText="1"/>
      <protection/>
    </xf>
    <xf numFmtId="1" fontId="2" fillId="0" borderId="1" xfId="1659" applyNumberFormat="1" applyFont="1" applyFill="1" applyBorder="1" applyAlignment="1">
      <alignment vertical="center" wrapText="1"/>
      <protection/>
    </xf>
    <xf numFmtId="1" fontId="1" fillId="0" borderId="1" xfId="1659" applyNumberFormat="1" applyFont="1" applyFill="1" applyBorder="1" applyAlignment="1">
      <alignment horizontal="center" vertical="center"/>
      <protection/>
    </xf>
    <xf numFmtId="49" fontId="174" fillId="0" borderId="1" xfId="1659" applyNumberFormat="1" applyFont="1" applyFill="1" applyBorder="1" applyAlignment="1">
      <alignment horizontal="center" vertical="center"/>
      <protection/>
    </xf>
    <xf numFmtId="1" fontId="174" fillId="0" borderId="1" xfId="1659" applyNumberFormat="1" applyFont="1" applyFill="1" applyBorder="1" applyAlignment="1">
      <alignment horizontal="center" vertical="center" wrapText="1"/>
      <protection/>
    </xf>
    <xf numFmtId="3" fontId="2" fillId="0" borderId="1" xfId="17" applyNumberFormat="1" applyFont="1" applyFill="1" applyBorder="1" applyAlignment="1" quotePrefix="1">
      <alignment horizontal="center" vertical="center" wrapText="1"/>
      <protection/>
    </xf>
    <xf numFmtId="172" fontId="2" fillId="0" borderId="1" xfId="1659" applyNumberFormat="1" applyFont="1" applyFill="1" applyBorder="1" applyAlignment="1">
      <alignment vertical="center" wrapText="1"/>
      <protection/>
    </xf>
    <xf numFmtId="3" fontId="2" fillId="0" borderId="1" xfId="1659" applyNumberFormat="1" applyFont="1" applyFill="1" applyBorder="1" applyAlignment="1" quotePrefix="1">
      <alignment vertical="center" wrapText="1"/>
      <protection/>
    </xf>
    <xf numFmtId="3" fontId="2" fillId="0" borderId="1" xfId="17" applyNumberFormat="1" applyFont="1" applyFill="1" applyBorder="1" applyAlignment="1">
      <alignment horizontal="center" vertical="center" wrapText="1"/>
      <protection/>
    </xf>
    <xf numFmtId="3" fontId="2" fillId="0" borderId="1" xfId="17" applyNumberFormat="1" applyFont="1" applyFill="1" applyBorder="1" applyAlignment="1">
      <alignment horizontal="center" vertical="center" wrapText="1"/>
      <protection/>
    </xf>
    <xf numFmtId="3" fontId="2" fillId="0" borderId="1" xfId="22" applyNumberFormat="1" applyFont="1" applyFill="1" applyBorder="1" applyAlignment="1">
      <alignment horizontal="center" vertical="center" wrapText="1"/>
      <protection/>
    </xf>
    <xf numFmtId="172" fontId="2" fillId="0" borderId="1" xfId="1659" applyNumberFormat="1" applyFont="1" applyFill="1" applyBorder="1" applyAlignment="1">
      <alignment horizontal="left" vertical="center" wrapText="1"/>
      <protection/>
    </xf>
    <xf numFmtId="1" fontId="2" fillId="0" borderId="1" xfId="1659" applyNumberFormat="1" applyFont="1" applyFill="1" applyBorder="1" applyAlignment="1" quotePrefix="1">
      <alignment horizontal="center" vertical="center" wrapText="1"/>
      <protection/>
    </xf>
    <xf numFmtId="0" fontId="1" fillId="0" borderId="1" xfId="17" applyFont="1" applyFill="1" applyBorder="1" applyAlignment="1">
      <alignment horizontal="left" vertical="center" wrapText="1"/>
      <protection/>
    </xf>
    <xf numFmtId="49" fontId="1" fillId="0" borderId="1" xfId="0" applyNumberFormat="1" applyFont="1" applyFill="1" applyBorder="1" applyAlignment="1">
      <alignment horizontal="center" vertical="center" wrapText="1"/>
    </xf>
    <xf numFmtId="1" fontId="1" fillId="0" borderId="1" xfId="1659" applyNumberFormat="1" applyFont="1" applyFill="1" applyBorder="1" applyAlignment="1" quotePrefix="1">
      <alignment horizontal="center" vertical="center" wrapText="1"/>
      <protection/>
    </xf>
    <xf numFmtId="1" fontId="1" fillId="0" borderId="1" xfId="1659" applyNumberFormat="1" applyFont="1" applyFill="1" applyBorder="1" applyAlignment="1">
      <alignment horizontal="center" vertical="center" wrapText="1"/>
      <protection/>
    </xf>
    <xf numFmtId="3" fontId="2" fillId="0" borderId="1" xfId="763" applyNumberFormat="1" applyFont="1" applyFill="1" applyBorder="1" applyAlignment="1">
      <alignment horizontal="center" vertical="center"/>
    </xf>
    <xf numFmtId="3" fontId="2" fillId="0" borderId="1" xfId="1663" applyNumberFormat="1" applyFont="1" applyFill="1" applyBorder="1" applyAlignment="1">
      <alignment horizontal="left" vertical="center" wrapText="1"/>
      <protection/>
    </xf>
    <xf numFmtId="3" fontId="2" fillId="0" borderId="1" xfId="763" applyNumberFormat="1" applyFont="1" applyFill="1" applyBorder="1" applyAlignment="1">
      <alignment horizontal="center" vertical="center" wrapText="1"/>
    </xf>
    <xf numFmtId="3" fontId="2" fillId="0" borderId="1" xfId="1663" applyNumberFormat="1" applyFont="1" applyFill="1" applyBorder="1" applyAlignment="1" quotePrefix="1">
      <alignment horizontal="center" vertical="center" wrapText="1"/>
      <protection/>
    </xf>
    <xf numFmtId="3" fontId="2" fillId="0" borderId="1" xfId="1077" applyNumberFormat="1" applyFont="1" applyFill="1" applyBorder="1" applyAlignment="1">
      <alignment horizontal="center" vertical="center" wrapText="1"/>
    </xf>
    <xf numFmtId="3" fontId="1" fillId="0" borderId="0" xfId="1659" applyNumberFormat="1" applyFont="1" applyFill="1" applyBorder="1" applyAlignment="1">
      <alignment horizontal="center" vertical="center" wrapText="1"/>
      <protection/>
    </xf>
    <xf numFmtId="172" fontId="1" fillId="0" borderId="0" xfId="1161" applyNumberFormat="1" applyFont="1" applyFill="1" applyBorder="1" applyAlignment="1">
      <alignment horizontal="center" vertical="center" wrapText="1"/>
    </xf>
    <xf numFmtId="3" fontId="4" fillId="0" borderId="1" xfId="1659" applyNumberFormat="1" applyFont="1" applyFill="1" applyBorder="1" applyAlignment="1">
      <alignment horizontal="center" vertical="center" wrapText="1"/>
      <protection/>
    </xf>
    <xf numFmtId="49" fontId="4" fillId="0" borderId="1" xfId="0" applyNumberFormat="1" applyFont="1" applyFill="1" applyBorder="1" applyAlignment="1">
      <alignment horizontal="center" vertical="center" wrapText="1"/>
    </xf>
    <xf numFmtId="3" fontId="4" fillId="0" borderId="1" xfId="1659" applyNumberFormat="1" applyFont="1" applyFill="1" applyBorder="1" applyAlignment="1" quotePrefix="1">
      <alignment horizontal="center" vertical="center" wrapText="1"/>
      <protection/>
    </xf>
    <xf numFmtId="1" fontId="4" fillId="0" borderId="1" xfId="1659" applyNumberFormat="1" applyFont="1" applyFill="1" applyBorder="1" applyAlignment="1" quotePrefix="1">
      <alignment horizontal="center" vertical="center" wrapText="1"/>
      <protection/>
    </xf>
    <xf numFmtId="1" fontId="4" fillId="0" borderId="1" xfId="1659" applyNumberFormat="1" applyFont="1" applyFill="1" applyBorder="1" applyAlignment="1">
      <alignment horizontal="center" vertical="center" wrapText="1"/>
      <protection/>
    </xf>
    <xf numFmtId="3" fontId="183" fillId="0" borderId="1" xfId="1659" applyNumberFormat="1" applyFont="1" applyFill="1" applyBorder="1" applyAlignment="1" quotePrefix="1">
      <alignment vertical="center" wrapText="1"/>
      <protection/>
    </xf>
    <xf numFmtId="3" fontId="4" fillId="0" borderId="1" xfId="1659" applyNumberFormat="1" applyFont="1" applyFill="1" applyBorder="1" applyAlignment="1" quotePrefix="1">
      <alignment vertical="center" wrapText="1"/>
      <protection/>
    </xf>
    <xf numFmtId="3" fontId="4" fillId="0" borderId="1" xfId="1659" applyNumberFormat="1" applyFont="1" applyFill="1" applyBorder="1" applyAlignment="1">
      <alignment horizontal="center" vertical="center" wrapText="1"/>
      <protection/>
    </xf>
    <xf numFmtId="3" fontId="4" fillId="0" borderId="0" xfId="1659" applyNumberFormat="1" applyFont="1" applyFill="1" applyBorder="1" applyAlignment="1">
      <alignment horizontal="center" vertical="center" wrapText="1"/>
      <protection/>
    </xf>
    <xf numFmtId="172" fontId="4" fillId="0" borderId="0" xfId="1161" applyNumberFormat="1" applyFont="1" applyFill="1" applyBorder="1" applyAlignment="1">
      <alignment horizontal="center" vertical="center" wrapText="1"/>
    </xf>
    <xf numFmtId="172" fontId="4" fillId="0" borderId="1" xfId="1161" applyNumberFormat="1" applyFont="1" applyFill="1" applyBorder="1" applyAlignment="1">
      <alignment horizontal="center" vertical="center" wrapText="1"/>
    </xf>
    <xf numFmtId="172" fontId="4" fillId="0" borderId="1" xfId="1161" applyNumberFormat="1" applyFont="1" applyFill="1" applyBorder="1" applyAlignment="1">
      <alignment vertical="center" wrapText="1"/>
    </xf>
    <xf numFmtId="3" fontId="4" fillId="0" borderId="0" xfId="1659" applyNumberFormat="1" applyFont="1" applyFill="1" applyBorder="1" applyAlignment="1">
      <alignment vertical="center" wrapText="1"/>
      <protection/>
    </xf>
    <xf numFmtId="1" fontId="4" fillId="0" borderId="0" xfId="1659" applyNumberFormat="1" applyFont="1" applyFill="1" applyAlignment="1">
      <alignment vertical="center"/>
      <protection/>
    </xf>
    <xf numFmtId="172" fontId="1" fillId="0" borderId="1" xfId="1659" applyNumberFormat="1" applyFont="1" applyFill="1" applyBorder="1" applyAlignment="1">
      <alignment horizontal="center" vertical="center" wrapText="1"/>
      <protection/>
    </xf>
    <xf numFmtId="172" fontId="1" fillId="0" borderId="1" xfId="1659" applyNumberFormat="1" applyFont="1" applyFill="1" applyBorder="1" applyAlignment="1">
      <alignment horizontal="left" vertical="center" wrapText="1"/>
      <protection/>
    </xf>
    <xf numFmtId="172" fontId="2" fillId="0" borderId="1" xfId="17" applyNumberFormat="1" applyFont="1" applyFill="1" applyBorder="1" applyAlignment="1">
      <alignment horizontal="left" vertical="center" wrapText="1"/>
      <protection/>
    </xf>
    <xf numFmtId="172" fontId="2" fillId="0" borderId="1" xfId="1659" applyNumberFormat="1" applyFont="1" applyFill="1" applyBorder="1" applyAlignment="1">
      <alignment horizontal="center" vertical="center" wrapText="1"/>
      <protection/>
    </xf>
    <xf numFmtId="3" fontId="1" fillId="0" borderId="1" xfId="17" applyNumberFormat="1" applyFont="1" applyFill="1" applyBorder="1" applyAlignment="1">
      <alignment horizontal="center" vertical="center" wrapText="1"/>
      <protection/>
    </xf>
    <xf numFmtId="3" fontId="1" fillId="0" borderId="1" xfId="17" applyNumberFormat="1" applyFont="1" applyFill="1" applyBorder="1" applyAlignment="1">
      <alignment horizontal="left" vertical="center" wrapText="1"/>
      <protection/>
    </xf>
    <xf numFmtId="3" fontId="1" fillId="0" borderId="1" xfId="1659" applyNumberFormat="1" applyFont="1" applyFill="1" applyBorder="1" applyAlignment="1">
      <alignment horizontal="left" vertical="center" wrapText="1"/>
      <protection/>
    </xf>
    <xf numFmtId="274" fontId="1" fillId="0" borderId="1" xfId="1077"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 fillId="0" borderId="1" xfId="17" applyFont="1" applyFill="1" applyBorder="1" applyAlignment="1">
      <alignment horizontal="center" vertical="center" wrapText="1"/>
      <protection/>
    </xf>
    <xf numFmtId="1" fontId="2" fillId="0" borderId="1" xfId="1659" applyNumberFormat="1" applyFont="1" applyFill="1" applyBorder="1" applyAlignment="1">
      <alignment vertical="center" wrapText="1"/>
      <protection/>
    </xf>
    <xf numFmtId="3" fontId="8" fillId="0" borderId="1" xfId="1659" applyNumberFormat="1" applyFont="1" applyFill="1" applyBorder="1" applyAlignment="1" quotePrefix="1">
      <alignment horizontal="center" vertical="center" wrapText="1"/>
      <protection/>
    </xf>
    <xf numFmtId="1" fontId="1" fillId="0" borderId="0" xfId="1659" applyNumberFormat="1" applyFont="1" applyFill="1" applyAlignment="1">
      <alignment horizontal="right" vertical="center"/>
      <protection/>
    </xf>
    <xf numFmtId="1" fontId="4" fillId="0" borderId="5" xfId="1659" applyNumberFormat="1" applyFont="1" applyFill="1" applyBorder="1" applyAlignment="1">
      <alignment horizontal="right" vertical="center"/>
      <protection/>
    </xf>
    <xf numFmtId="3" fontId="230" fillId="0" borderId="1" xfId="1659" applyNumberFormat="1" applyFont="1" applyFill="1" applyBorder="1" applyAlignment="1" quotePrefix="1">
      <alignment vertical="center" wrapText="1"/>
      <protection/>
    </xf>
    <xf numFmtId="3" fontId="230" fillId="0" borderId="1" xfId="1659" applyNumberFormat="1" applyFont="1" applyFill="1" applyBorder="1" applyAlignment="1">
      <alignment horizontal="center" vertical="center" wrapText="1"/>
      <protection/>
    </xf>
    <xf numFmtId="172" fontId="15" fillId="0" borderId="21" xfId="1161" applyNumberFormat="1" applyFont="1" applyFill="1" applyBorder="1" applyAlignment="1" quotePrefix="1">
      <alignment vertical="center" wrapText="1"/>
    </xf>
    <xf numFmtId="0" fontId="2" fillId="0" borderId="0" xfId="1556" applyFont="1" applyFill="1" applyAlignment="1">
      <alignment vertical="center"/>
      <protection/>
    </xf>
    <xf numFmtId="172" fontId="15" fillId="0" borderId="21" xfId="1161" applyNumberFormat="1" applyFont="1" applyFill="1" applyBorder="1" applyAlignment="1">
      <alignment vertical="center" wrapText="1"/>
    </xf>
    <xf numFmtId="272" fontId="1" fillId="0" borderId="0" xfId="1659" applyNumberFormat="1" applyFont="1" applyFill="1" applyBorder="1" applyAlignment="1">
      <alignment vertical="center" wrapText="1"/>
      <protection/>
    </xf>
    <xf numFmtId="275" fontId="2" fillId="0" borderId="39" xfId="1161" applyNumberFormat="1" applyFont="1" applyFill="1" applyBorder="1" applyAlignment="1">
      <alignment horizontal="center" vertical="center" wrapText="1"/>
    </xf>
    <xf numFmtId="172" fontId="1" fillId="0" borderId="44" xfId="1161" applyNumberFormat="1" applyFont="1" applyFill="1" applyBorder="1" applyAlignment="1">
      <alignment horizontal="center" vertical="center" wrapText="1"/>
    </xf>
    <xf numFmtId="172" fontId="2" fillId="0" borderId="44" xfId="1161" applyNumberFormat="1" applyFont="1" applyFill="1" applyBorder="1" applyAlignment="1">
      <alignment horizontal="center" vertical="center" wrapText="1"/>
    </xf>
    <xf numFmtId="3" fontId="1" fillId="0" borderId="44" xfId="1659" applyNumberFormat="1" applyFont="1" applyFill="1" applyBorder="1" applyAlignment="1" quotePrefix="1">
      <alignment horizontal="right" vertical="center" wrapText="1"/>
      <protection/>
    </xf>
    <xf numFmtId="3" fontId="1" fillId="0" borderId="1" xfId="1659" applyNumberFormat="1" applyFont="1" applyFill="1" applyBorder="1" applyAlignment="1" quotePrefix="1">
      <alignment horizontal="right" vertical="center" wrapText="1"/>
      <protection/>
    </xf>
    <xf numFmtId="172" fontId="1" fillId="0" borderId="1" xfId="1161" applyNumberFormat="1" applyFont="1" applyFill="1" applyBorder="1" applyAlignment="1">
      <alignment horizontal="right" vertical="center" wrapText="1"/>
    </xf>
    <xf numFmtId="0" fontId="1" fillId="0" borderId="0" xfId="1556" applyFont="1" applyFill="1" applyAlignment="1">
      <alignment vertical="center"/>
      <protection/>
    </xf>
    <xf numFmtId="0" fontId="1" fillId="0" borderId="0" xfId="1556" applyFont="1" applyFill="1" applyAlignment="1">
      <alignment vertical="center"/>
      <protection/>
    </xf>
    <xf numFmtId="172" fontId="1" fillId="0" borderId="39" xfId="1161" applyNumberFormat="1" applyFont="1" applyFill="1" applyBorder="1" applyAlignment="1">
      <alignment horizontal="left" vertical="center" wrapText="1"/>
    </xf>
    <xf numFmtId="172" fontId="15" fillId="0" borderId="1" xfId="1161" applyNumberFormat="1" applyFont="1" applyFill="1" applyBorder="1" applyAlignment="1">
      <alignment vertical="center" wrapText="1"/>
    </xf>
    <xf numFmtId="3" fontId="1" fillId="0" borderId="45" xfId="1659" applyNumberFormat="1" applyFont="1" applyFill="1" applyBorder="1" applyAlignment="1" quotePrefix="1">
      <alignment horizontal="center" vertical="center" wrapText="1"/>
      <protection/>
    </xf>
    <xf numFmtId="172" fontId="1" fillId="0" borderId="39" xfId="1161" applyNumberFormat="1" applyFont="1" applyFill="1" applyBorder="1" applyAlignment="1">
      <alignment vertical="center" wrapText="1"/>
    </xf>
    <xf numFmtId="3" fontId="2" fillId="0" borderId="21" xfId="1659" applyNumberFormat="1" applyFont="1" applyFill="1" applyBorder="1" applyAlignment="1" quotePrefix="1">
      <alignment horizontal="right" vertical="center" wrapText="1"/>
      <protection/>
    </xf>
    <xf numFmtId="3" fontId="2" fillId="0" borderId="43" xfId="1659" applyNumberFormat="1" applyFont="1" applyFill="1" applyBorder="1" applyAlignment="1" quotePrefix="1">
      <alignment horizontal="center" vertical="center" wrapText="1"/>
      <protection/>
    </xf>
    <xf numFmtId="0" fontId="149" fillId="0" borderId="0" xfId="1556" applyFont="1" applyFill="1" applyAlignment="1">
      <alignment vertical="center"/>
      <protection/>
    </xf>
    <xf numFmtId="172" fontId="2" fillId="0" borderId="39" xfId="1578" applyNumberFormat="1" applyFont="1" applyFill="1" applyBorder="1" applyAlignment="1">
      <alignment horizontal="center" vertical="center" wrapText="1"/>
      <protection/>
    </xf>
    <xf numFmtId="172" fontId="2" fillId="0" borderId="1" xfId="1578" applyNumberFormat="1" applyFont="1" applyFill="1" applyBorder="1" applyAlignment="1">
      <alignment horizontal="center" vertical="center" wrapText="1"/>
      <protection/>
    </xf>
    <xf numFmtId="172" fontId="2" fillId="0" borderId="10" xfId="1161" applyNumberFormat="1" applyFont="1" applyFill="1" applyBorder="1" applyAlignment="1">
      <alignment horizontal="center" vertical="center" wrapText="1"/>
    </xf>
    <xf numFmtId="172" fontId="15" fillId="0" borderId="10" xfId="1161" applyNumberFormat="1" applyFont="1" applyFill="1" applyBorder="1" applyAlignment="1">
      <alignment vertical="center" wrapText="1"/>
    </xf>
    <xf numFmtId="3" fontId="2" fillId="0" borderId="39" xfId="1659" applyNumberFormat="1" applyFont="1" applyFill="1" applyBorder="1" applyAlignment="1" quotePrefix="1">
      <alignment horizontal="center" vertical="center" wrapText="1"/>
      <protection/>
    </xf>
    <xf numFmtId="3" fontId="1" fillId="0" borderId="39" xfId="1659" applyNumberFormat="1" applyFont="1" applyFill="1" applyBorder="1" applyAlignment="1" quotePrefix="1">
      <alignment horizontal="left" vertical="center" wrapText="1"/>
      <protection/>
    </xf>
    <xf numFmtId="3" fontId="1" fillId="0" borderId="1" xfId="1659" applyNumberFormat="1" applyFont="1" applyFill="1" applyBorder="1" applyAlignment="1" quotePrefix="1">
      <alignment horizontal="right" vertical="center" wrapText="1"/>
      <protection/>
    </xf>
    <xf numFmtId="3" fontId="15" fillId="0" borderId="1" xfId="1659" applyNumberFormat="1" applyFont="1" applyFill="1" applyBorder="1" applyAlignment="1" quotePrefix="1">
      <alignment horizontal="right" vertical="center" wrapText="1"/>
      <protection/>
    </xf>
    <xf numFmtId="0" fontId="148" fillId="0" borderId="0" xfId="1483" applyFont="1" applyFill="1" applyAlignment="1">
      <alignment vertical="center"/>
      <protection/>
    </xf>
    <xf numFmtId="0" fontId="2" fillId="0" borderId="21" xfId="1752" applyFont="1" applyFill="1" applyBorder="1" applyAlignment="1">
      <alignment vertical="center" wrapText="1"/>
      <protection/>
    </xf>
    <xf numFmtId="0" fontId="2" fillId="0" borderId="39" xfId="1752" applyFont="1" applyFill="1" applyBorder="1" applyAlignment="1">
      <alignment vertical="center" wrapText="1"/>
      <protection/>
    </xf>
    <xf numFmtId="0" fontId="2" fillId="0" borderId="10" xfId="1752" applyFont="1" applyFill="1" applyBorder="1" applyAlignment="1">
      <alignment vertical="center" wrapText="1"/>
      <protection/>
    </xf>
    <xf numFmtId="0" fontId="2" fillId="0" borderId="0" xfId="1752" applyFont="1" applyFill="1" applyBorder="1" applyAlignment="1">
      <alignment vertical="center" wrapText="1"/>
      <protection/>
    </xf>
    <xf numFmtId="0" fontId="2" fillId="0" borderId="21" xfId="1752" applyFont="1" applyFill="1" applyBorder="1" applyAlignment="1">
      <alignment horizontal="center" vertical="center" wrapText="1"/>
      <protection/>
    </xf>
    <xf numFmtId="0" fontId="2" fillId="0" borderId="1" xfId="17" applyFont="1" applyFill="1" applyBorder="1" applyAlignment="1">
      <alignment vertical="center" wrapText="1"/>
      <protection/>
    </xf>
    <xf numFmtId="0" fontId="2" fillId="0" borderId="1" xfId="1556" applyFont="1" applyFill="1" applyBorder="1" applyAlignment="1">
      <alignment vertical="center"/>
      <protection/>
    </xf>
    <xf numFmtId="16" fontId="2" fillId="0" borderId="1" xfId="1556" applyNumberFormat="1" applyFont="1" applyFill="1" applyBorder="1" applyAlignment="1" quotePrefix="1">
      <alignment horizontal="center" vertical="center" wrapText="1"/>
      <protection/>
    </xf>
    <xf numFmtId="0" fontId="2" fillId="0" borderId="1" xfId="1556" applyFont="1" applyFill="1" applyBorder="1" applyAlignment="1">
      <alignment horizontal="center" vertical="center" wrapText="1"/>
      <protection/>
    </xf>
    <xf numFmtId="3" fontId="8" fillId="0" borderId="1" xfId="17" applyNumberFormat="1" applyFont="1" applyFill="1" applyBorder="1" applyAlignment="1">
      <alignment vertical="center"/>
      <protection/>
    </xf>
    <xf numFmtId="1" fontId="8" fillId="0" borderId="1" xfId="1556" applyNumberFormat="1" applyFont="1" applyFill="1" applyBorder="1" applyAlignment="1">
      <alignment vertical="center"/>
      <protection/>
    </xf>
    <xf numFmtId="3" fontId="8" fillId="0" borderId="1" xfId="1659" applyNumberFormat="1" applyFont="1" applyFill="1" applyBorder="1" applyAlignment="1" quotePrefix="1">
      <alignment horizontal="right" vertical="center" wrapText="1"/>
      <protection/>
    </xf>
    <xf numFmtId="3" fontId="1" fillId="0" borderId="0" xfId="1659" applyNumberFormat="1" applyFont="1" applyFill="1" applyAlignment="1">
      <alignment horizontal="center" vertical="center"/>
      <protection/>
    </xf>
    <xf numFmtId="3" fontId="1" fillId="0" borderId="0" xfId="1659" applyNumberFormat="1" applyFont="1" applyFill="1" applyAlignment="1">
      <alignment horizontal="center" vertical="center" wrapText="1"/>
      <protection/>
    </xf>
    <xf numFmtId="3" fontId="4" fillId="0" borderId="0" xfId="1659" applyNumberFormat="1" applyFont="1" applyFill="1" applyAlignment="1">
      <alignment horizontal="center" vertical="center" wrapText="1"/>
      <protection/>
    </xf>
    <xf numFmtId="1" fontId="4" fillId="0" borderId="5" xfId="1659" applyNumberFormat="1" applyFont="1" applyFill="1" applyBorder="1" applyAlignment="1">
      <alignment horizontal="center" vertical="center"/>
      <protection/>
    </xf>
    <xf numFmtId="3" fontId="4" fillId="0" borderId="5" xfId="1659" applyNumberFormat="1" applyFont="1" applyFill="1" applyBorder="1" applyAlignment="1">
      <alignment horizontal="center" vertical="center"/>
      <protection/>
    </xf>
    <xf numFmtId="1" fontId="4" fillId="0" borderId="5" xfId="1659" applyNumberFormat="1" applyFont="1" applyFill="1" applyBorder="1" applyAlignment="1">
      <alignment horizontal="right" vertical="center"/>
      <protection/>
    </xf>
    <xf numFmtId="172" fontId="15" fillId="0" borderId="20" xfId="1161" applyNumberFormat="1" applyFont="1" applyFill="1" applyBorder="1" applyAlignment="1" quotePrefix="1">
      <alignment horizontal="center" vertical="center" wrapText="1"/>
    </xf>
    <xf numFmtId="3" fontId="15" fillId="0" borderId="20" xfId="1161" applyNumberFormat="1" applyFont="1" applyFill="1" applyBorder="1" applyAlignment="1" quotePrefix="1">
      <alignment horizontal="center" vertical="center" wrapText="1"/>
    </xf>
    <xf numFmtId="172" fontId="15" fillId="0" borderId="21" xfId="1161" applyNumberFormat="1" applyFont="1" applyFill="1" applyBorder="1" applyAlignment="1" quotePrefix="1">
      <alignment horizontal="center" vertical="center" wrapText="1"/>
    </xf>
    <xf numFmtId="3" fontId="15" fillId="0" borderId="21" xfId="1161" applyNumberFormat="1" applyFont="1" applyFill="1" applyBorder="1" applyAlignment="1" quotePrefix="1">
      <alignment horizontal="center" vertical="center" wrapText="1"/>
    </xf>
    <xf numFmtId="172" fontId="8" fillId="0" borderId="21" xfId="1161" applyNumberFormat="1" applyFont="1" applyFill="1" applyBorder="1" applyAlignment="1" quotePrefix="1">
      <alignment horizontal="center" vertical="center" wrapText="1"/>
    </xf>
    <xf numFmtId="3" fontId="8" fillId="0" borderId="21" xfId="1161" applyNumberFormat="1" applyFont="1" applyFill="1" applyBorder="1" applyAlignment="1" quotePrefix="1">
      <alignment horizontal="center" vertical="center" wrapText="1"/>
    </xf>
    <xf numFmtId="3" fontId="8" fillId="0" borderId="21" xfId="1161" applyNumberFormat="1" applyFont="1" applyFill="1" applyBorder="1" applyAlignment="1">
      <alignment horizontal="center" vertical="center" wrapText="1"/>
    </xf>
    <xf numFmtId="3" fontId="1" fillId="0" borderId="39" xfId="1659" applyNumberFormat="1" applyFont="1" applyFill="1" applyBorder="1" applyAlignment="1" quotePrefix="1">
      <alignment horizontal="center" vertical="center" wrapText="1"/>
      <protection/>
    </xf>
    <xf numFmtId="172" fontId="15" fillId="0" borderId="21" xfId="1161" applyNumberFormat="1" applyFont="1" applyFill="1" applyBorder="1" applyAlignment="1">
      <alignment horizontal="center" vertical="center" wrapText="1"/>
    </xf>
    <xf numFmtId="3" fontId="15" fillId="0" borderId="21" xfId="1161" applyNumberFormat="1" applyFont="1" applyFill="1" applyBorder="1" applyAlignment="1">
      <alignment horizontal="center" vertical="center" wrapText="1"/>
    </xf>
    <xf numFmtId="3" fontId="176" fillId="0" borderId="21" xfId="1659" applyNumberFormat="1" applyFont="1" applyFill="1" applyBorder="1" applyAlignment="1" quotePrefix="1">
      <alignment horizontal="center" vertical="center" wrapText="1"/>
      <protection/>
    </xf>
    <xf numFmtId="4" fontId="2" fillId="0" borderId="21"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3" fontId="8" fillId="0" borderId="21" xfId="1077" applyNumberFormat="1" applyFont="1" applyFill="1" applyBorder="1" applyAlignment="1">
      <alignment horizontal="center" vertical="center" wrapText="1"/>
    </xf>
    <xf numFmtId="3" fontId="2" fillId="0" borderId="21" xfId="1161" applyNumberFormat="1" applyFont="1" applyFill="1" applyBorder="1" applyAlignment="1">
      <alignment horizontal="center" vertical="center" wrapText="1"/>
    </xf>
    <xf numFmtId="4" fontId="8" fillId="0" borderId="21" xfId="1161" applyNumberFormat="1" applyFont="1" applyFill="1" applyBorder="1" applyAlignment="1">
      <alignment horizontal="center" vertical="center" wrapText="1"/>
    </xf>
    <xf numFmtId="3" fontId="176" fillId="0" borderId="21" xfId="1556" applyNumberFormat="1" applyFont="1" applyFill="1" applyBorder="1" applyAlignment="1">
      <alignment horizontal="center" vertical="center"/>
      <protection/>
    </xf>
    <xf numFmtId="3" fontId="8" fillId="0" borderId="21" xfId="17" applyNumberFormat="1" applyFont="1" applyFill="1" applyBorder="1" applyAlignment="1">
      <alignment horizontal="center" vertical="center"/>
      <protection/>
    </xf>
    <xf numFmtId="3" fontId="176" fillId="0" borderId="21" xfId="1161" applyNumberFormat="1" applyFont="1" applyFill="1" applyBorder="1" applyAlignment="1">
      <alignment horizontal="center" vertical="center" wrapText="1"/>
    </xf>
    <xf numFmtId="273" fontId="2" fillId="0" borderId="21" xfId="0" applyNumberFormat="1" applyFont="1" applyFill="1" applyBorder="1" applyAlignment="1">
      <alignment horizontal="center" vertical="center"/>
    </xf>
    <xf numFmtId="43" fontId="15" fillId="0" borderId="21" xfId="1161" applyNumberFormat="1" applyFont="1" applyFill="1" applyBorder="1" applyAlignment="1">
      <alignment horizontal="center" vertical="center" wrapText="1"/>
    </xf>
    <xf numFmtId="3" fontId="15" fillId="0" borderId="21" xfId="1659" applyNumberFormat="1" applyFont="1" applyFill="1" applyBorder="1" applyAlignment="1" quotePrefix="1">
      <alignment horizontal="center" vertical="center" wrapText="1"/>
      <protection/>
    </xf>
    <xf numFmtId="3" fontId="1" fillId="0" borderId="39" xfId="1659" applyNumberFormat="1" applyFont="1" applyFill="1" applyBorder="1" applyAlignment="1" quotePrefix="1">
      <alignment horizontal="right" vertical="center" wrapText="1"/>
      <protection/>
    </xf>
    <xf numFmtId="3" fontId="2" fillId="0" borderId="21" xfId="1752" applyNumberFormat="1" applyFont="1" applyFill="1" applyBorder="1" applyAlignment="1">
      <alignment horizontal="center" vertical="center" wrapText="1"/>
      <protection/>
    </xf>
    <xf numFmtId="172" fontId="2" fillId="0" borderId="10" xfId="1161" applyNumberFormat="1" applyFont="1" applyFill="1" applyBorder="1" applyAlignment="1">
      <alignment vertical="center" wrapText="1"/>
    </xf>
    <xf numFmtId="3" fontId="8" fillId="0" borderId="21" xfId="1662" applyNumberFormat="1" applyFont="1" applyFill="1" applyBorder="1" applyAlignment="1">
      <alignment horizontal="center" vertical="center" wrapText="1"/>
      <protection/>
    </xf>
    <xf numFmtId="3" fontId="2" fillId="0" borderId="39" xfId="1659" applyNumberFormat="1" applyFont="1" applyFill="1" applyBorder="1" applyAlignment="1" quotePrefix="1">
      <alignment horizontal="center" vertical="center" wrapText="1"/>
      <protection/>
    </xf>
    <xf numFmtId="172" fontId="175" fillId="0" borderId="39" xfId="1161" applyNumberFormat="1" applyFont="1" applyFill="1" applyBorder="1" applyAlignment="1">
      <alignment horizontal="center" vertical="center" wrapText="1"/>
    </xf>
    <xf numFmtId="172" fontId="15" fillId="0" borderId="42" xfId="1161" applyNumberFormat="1" applyFont="1" applyFill="1" applyBorder="1" applyAlignment="1" quotePrefix="1">
      <alignment horizontal="center" vertical="center" wrapText="1"/>
    </xf>
    <xf numFmtId="3" fontId="15" fillId="0" borderId="42" xfId="1161" applyNumberFormat="1" applyFont="1" applyFill="1" applyBorder="1" applyAlignment="1" quotePrefix="1">
      <alignment horizontal="center" vertical="center" wrapText="1"/>
    </xf>
    <xf numFmtId="3" fontId="1" fillId="0" borderId="39" xfId="1161" applyNumberFormat="1" applyFont="1" applyFill="1" applyBorder="1" applyAlignment="1">
      <alignment horizontal="center" vertical="center" wrapText="1"/>
    </xf>
    <xf numFmtId="3" fontId="2" fillId="0" borderId="0" xfId="1556" applyNumberFormat="1" applyFont="1" applyFill="1" applyAlignment="1">
      <alignment horizontal="center" vertical="center"/>
      <protection/>
    </xf>
    <xf numFmtId="3" fontId="2" fillId="0" borderId="0" xfId="1659" applyNumberFormat="1" applyFont="1" applyFill="1" applyAlignment="1">
      <alignment horizontal="center" vertical="center"/>
      <protection/>
    </xf>
    <xf numFmtId="3" fontId="1" fillId="0" borderId="1" xfId="1659" applyNumberFormat="1" applyFont="1" applyFill="1" applyBorder="1" applyAlignment="1">
      <alignment vertical="center" wrapText="1"/>
      <protection/>
    </xf>
    <xf numFmtId="3" fontId="1" fillId="0" borderId="1" xfId="1659" applyNumberFormat="1" applyFont="1" applyFill="1" applyBorder="1" applyAlignment="1">
      <alignment horizontal="left" vertical="center" wrapText="1"/>
      <protection/>
    </xf>
    <xf numFmtId="172" fontId="8" fillId="0" borderId="1" xfId="1161" applyNumberFormat="1" applyFont="1" applyFill="1" applyBorder="1" applyAlignment="1">
      <alignment vertical="center" wrapText="1"/>
    </xf>
    <xf numFmtId="0" fontId="84" fillId="0" borderId="1" xfId="17" applyFont="1" applyFill="1" applyBorder="1" applyAlignment="1">
      <alignment horizontal="center" vertical="center"/>
      <protection/>
    </xf>
    <xf numFmtId="0" fontId="84" fillId="0" borderId="1" xfId="17" applyFont="1" applyFill="1" applyBorder="1" applyAlignment="1">
      <alignment horizontal="left" vertical="center" wrapText="1"/>
      <protection/>
    </xf>
    <xf numFmtId="0" fontId="2" fillId="0" borderId="1" xfId="17" applyFont="1" applyFill="1" applyBorder="1" applyAlignment="1">
      <alignment horizontal="left" vertical="center" wrapText="1"/>
      <protection/>
    </xf>
    <xf numFmtId="0" fontId="1" fillId="0" borderId="1" xfId="1483" applyFont="1" applyFill="1" applyBorder="1" applyAlignment="1">
      <alignment vertical="center" wrapText="1"/>
      <protection/>
    </xf>
    <xf numFmtId="0" fontId="2" fillId="0" borderId="1" xfId="1556" applyNumberFormat="1" applyFont="1" applyFill="1" applyBorder="1" applyAlignment="1">
      <alignment vertical="center" wrapText="1"/>
      <protection/>
    </xf>
    <xf numFmtId="0" fontId="2" fillId="0" borderId="1" xfId="1556" applyFont="1" applyFill="1" applyBorder="1" applyAlignment="1">
      <alignment vertical="center" wrapText="1"/>
      <protection/>
    </xf>
    <xf numFmtId="172" fontId="8" fillId="0" borderId="1" xfId="1161" applyNumberFormat="1" applyFont="1" applyFill="1" applyBorder="1" applyAlignment="1">
      <alignment vertical="center"/>
    </xf>
    <xf numFmtId="0" fontId="1" fillId="0" borderId="1" xfId="1556" applyFont="1" applyFill="1" applyBorder="1" applyAlignment="1">
      <alignment vertical="center" wrapText="1"/>
      <protection/>
    </xf>
    <xf numFmtId="175" fontId="15" fillId="0" borderId="1" xfId="1659" applyNumberFormat="1" applyFont="1" applyFill="1" applyBorder="1" applyAlignment="1" quotePrefix="1">
      <alignment vertical="center" wrapText="1"/>
      <protection/>
    </xf>
    <xf numFmtId="175" fontId="8" fillId="0" borderId="1" xfId="1659" applyNumberFormat="1" applyFont="1" applyFill="1" applyBorder="1" applyAlignment="1" quotePrefix="1">
      <alignment vertical="center" wrapText="1"/>
      <protection/>
    </xf>
    <xf numFmtId="49" fontId="2" fillId="0" borderId="1" xfId="17" applyNumberFormat="1" applyFont="1" applyFill="1" applyBorder="1" applyAlignment="1">
      <alignment vertical="center" wrapText="1"/>
      <protection/>
    </xf>
    <xf numFmtId="0" fontId="2" fillId="0" borderId="1" xfId="17" applyNumberFormat="1" applyFont="1" applyFill="1" applyBorder="1" applyAlignment="1">
      <alignment horizontal="center" vertical="center" wrapText="1"/>
      <protection/>
    </xf>
    <xf numFmtId="0" fontId="2" fillId="0" borderId="1" xfId="17" applyFont="1" applyFill="1" applyBorder="1" applyAlignment="1">
      <alignment horizontal="center" vertical="center" wrapText="1"/>
      <protection/>
    </xf>
    <xf numFmtId="1" fontId="2" fillId="0" borderId="1" xfId="1659" applyNumberFormat="1" applyFont="1" applyFill="1" applyBorder="1" applyAlignment="1" quotePrefix="1">
      <alignment vertical="center" wrapText="1"/>
      <protection/>
    </xf>
    <xf numFmtId="0" fontId="1" fillId="0" borderId="1" xfId="17" applyFont="1" applyFill="1" applyBorder="1" applyAlignment="1">
      <alignment horizontal="center" vertical="center" wrapText="1"/>
      <protection/>
    </xf>
    <xf numFmtId="0" fontId="2" fillId="0" borderId="1" xfId="17" applyFont="1" applyFill="1" applyBorder="1" applyAlignment="1">
      <alignment vertical="center" wrapText="1"/>
      <protection/>
    </xf>
    <xf numFmtId="172" fontId="8" fillId="0" borderId="1" xfId="1161" applyNumberFormat="1" applyFont="1" applyFill="1" applyBorder="1" applyAlignment="1">
      <alignment horizontal="center" vertical="center" wrapText="1"/>
    </xf>
    <xf numFmtId="0" fontId="1" fillId="0" borderId="1" xfId="1556" applyFont="1" applyFill="1" applyBorder="1" applyAlignment="1">
      <alignment horizontal="center" vertical="center"/>
      <protection/>
    </xf>
    <xf numFmtId="49" fontId="1" fillId="0" borderId="1" xfId="1556" applyNumberFormat="1" applyFont="1" applyFill="1" applyBorder="1" applyAlignment="1">
      <alignment horizontal="center" vertical="center"/>
      <protection/>
    </xf>
    <xf numFmtId="172" fontId="15" fillId="0" borderId="1" xfId="1161" applyNumberFormat="1" applyFont="1" applyFill="1" applyBorder="1" applyAlignment="1">
      <alignment vertical="center"/>
    </xf>
    <xf numFmtId="49" fontId="2" fillId="0" borderId="1" xfId="0" applyNumberFormat="1" applyFont="1" applyFill="1" applyBorder="1" applyAlignment="1">
      <alignment horizontal="left" vertical="center" wrapText="1"/>
    </xf>
    <xf numFmtId="0" fontId="2" fillId="0" borderId="1" xfId="1481" applyFont="1" applyFill="1" applyBorder="1" applyAlignment="1">
      <alignment horizontal="center" vertical="center" wrapText="1"/>
      <protection/>
    </xf>
    <xf numFmtId="172" fontId="8" fillId="0" borderId="1" xfId="1161" applyNumberFormat="1" applyFont="1" applyFill="1" applyBorder="1" applyAlignment="1">
      <alignment horizontal="right" vertical="center" wrapText="1"/>
    </xf>
    <xf numFmtId="0" fontId="2" fillId="0" borderId="1" xfId="1663" applyFont="1" applyFill="1" applyBorder="1" applyAlignment="1" quotePrefix="1">
      <alignment horizontal="center" vertical="center" wrapText="1"/>
      <protection/>
    </xf>
    <xf numFmtId="0" fontId="2" fillId="0" borderId="1" xfId="1663" applyFont="1" applyFill="1" applyBorder="1" applyAlignment="1">
      <alignment horizontal="left" vertical="center" wrapText="1"/>
      <protection/>
    </xf>
    <xf numFmtId="1" fontId="2" fillId="0" borderId="1" xfId="1659" applyNumberFormat="1" applyFont="1" applyFill="1" applyBorder="1" applyAlignment="1" quotePrefix="1">
      <alignment horizontal="center" vertical="center" wrapText="1"/>
      <protection/>
    </xf>
    <xf numFmtId="172" fontId="2" fillId="0" borderId="1" xfId="1012" applyNumberFormat="1" applyFont="1" applyFill="1" applyBorder="1" applyAlignment="1">
      <alignment horizontal="center" vertical="center" wrapText="1"/>
    </xf>
    <xf numFmtId="3" fontId="8" fillId="0" borderId="1" xfId="1556" applyNumberFormat="1" applyFont="1" applyFill="1" applyBorder="1" applyAlignment="1">
      <alignment vertical="center"/>
      <protection/>
    </xf>
    <xf numFmtId="172" fontId="2" fillId="0" borderId="1" xfId="1051" applyNumberFormat="1" applyFont="1" applyFill="1" applyBorder="1" applyAlignment="1">
      <alignment vertical="center" wrapText="1"/>
    </xf>
    <xf numFmtId="172" fontId="15" fillId="0" borderId="1" xfId="1556" applyNumberFormat="1" applyFont="1" applyFill="1" applyBorder="1" applyAlignment="1">
      <alignment vertical="center"/>
      <protection/>
    </xf>
    <xf numFmtId="3" fontId="2" fillId="0" borderId="1" xfId="1659" applyNumberFormat="1" applyFont="1" applyFill="1" applyBorder="1" applyAlignment="1">
      <alignment horizontal="left" vertical="center" wrapText="1"/>
      <protection/>
    </xf>
    <xf numFmtId="271" fontId="2" fillId="0" borderId="1" xfId="1200" applyNumberFormat="1" applyFont="1" applyFill="1" applyBorder="1" applyAlignment="1" quotePrefix="1">
      <alignment horizontal="right" vertical="center" wrapText="1"/>
    </xf>
    <xf numFmtId="172" fontId="8" fillId="0" borderId="1" xfId="1556" applyNumberFormat="1" applyFont="1" applyFill="1" applyBorder="1" applyAlignment="1">
      <alignment vertical="center"/>
      <protection/>
    </xf>
    <xf numFmtId="2" fontId="2" fillId="0" borderId="1" xfId="1658" applyNumberFormat="1" applyFont="1" applyFill="1" applyBorder="1" applyAlignment="1">
      <alignment vertical="center" wrapText="1"/>
      <protection/>
    </xf>
    <xf numFmtId="14" fontId="2" fillId="0" borderId="1" xfId="19" applyNumberFormat="1" applyFont="1" applyFill="1" applyBorder="1" applyAlignment="1">
      <alignment horizontal="center" vertical="center" wrapText="1"/>
      <protection/>
    </xf>
    <xf numFmtId="14" fontId="8" fillId="0" borderId="1" xfId="1161" applyNumberFormat="1" applyFont="1" applyFill="1" applyBorder="1" applyAlignment="1">
      <alignment vertical="center" wrapText="1"/>
    </xf>
    <xf numFmtId="3" fontId="8" fillId="0" borderId="1" xfId="1659" applyNumberFormat="1" applyFont="1" applyFill="1" applyBorder="1" applyAlignment="1">
      <alignment vertical="center"/>
      <protection/>
    </xf>
    <xf numFmtId="0" fontId="2" fillId="0" borderId="1" xfId="19" applyFont="1" applyFill="1" applyBorder="1" applyAlignment="1">
      <alignment vertical="center" wrapText="1"/>
      <protection/>
    </xf>
    <xf numFmtId="0" fontId="1" fillId="0" borderId="1" xfId="1556" applyFont="1" applyFill="1" applyBorder="1" applyAlignment="1">
      <alignment horizontal="center" vertical="center" wrapText="1"/>
      <protection/>
    </xf>
    <xf numFmtId="0" fontId="1" fillId="0" borderId="1" xfId="1556" applyFont="1" applyFill="1" applyBorder="1" applyAlignment="1">
      <alignment vertical="center"/>
      <protection/>
    </xf>
    <xf numFmtId="3" fontId="176" fillId="0" borderId="1" xfId="1659" applyNumberFormat="1" applyFont="1" applyFill="1" applyBorder="1" applyAlignment="1" quotePrefix="1">
      <alignment horizontal="right" vertical="center" wrapText="1"/>
      <protection/>
    </xf>
    <xf numFmtId="0" fontId="8" fillId="0" borderId="1" xfId="1556" applyFont="1" applyFill="1" applyBorder="1" applyAlignment="1">
      <alignment horizontal="center" vertical="center" wrapText="1"/>
      <protection/>
    </xf>
    <xf numFmtId="2" fontId="2" fillId="0" borderId="1" xfId="17" applyNumberFormat="1" applyFont="1" applyFill="1" applyBorder="1" applyAlignment="1">
      <alignment vertical="center" wrapText="1"/>
      <protection/>
    </xf>
    <xf numFmtId="1" fontId="2" fillId="0" borderId="1" xfId="1659" applyNumberFormat="1" applyFont="1" applyFill="1" applyBorder="1" applyAlignment="1">
      <alignment vertical="center"/>
      <protection/>
    </xf>
    <xf numFmtId="3" fontId="2" fillId="0" borderId="1" xfId="0" applyNumberFormat="1" applyFont="1" applyFill="1" applyBorder="1" applyAlignment="1">
      <alignment vertical="center" wrapText="1"/>
    </xf>
    <xf numFmtId="4" fontId="2" fillId="0" borderId="1" xfId="0" applyNumberFormat="1" applyFont="1" applyFill="1" applyBorder="1" applyAlignment="1">
      <alignment horizontal="right" vertical="center"/>
    </xf>
    <xf numFmtId="3" fontId="2" fillId="0" borderId="1" xfId="0" applyNumberFormat="1" applyFont="1" applyFill="1" applyBorder="1" applyAlignment="1">
      <alignment horizontal="left" vertical="center" wrapText="1"/>
    </xf>
    <xf numFmtId="3" fontId="8" fillId="0" borderId="1" xfId="1077" applyNumberFormat="1" applyFont="1" applyFill="1" applyBorder="1" applyAlignment="1">
      <alignment vertical="center" wrapText="1"/>
    </xf>
    <xf numFmtId="1" fontId="8" fillId="0" borderId="1" xfId="1659" applyNumberFormat="1" applyFont="1" applyFill="1" applyBorder="1" applyAlignment="1">
      <alignment vertical="center" wrapText="1"/>
      <protection/>
    </xf>
    <xf numFmtId="3" fontId="8" fillId="0" borderId="1" xfId="1662" applyNumberFormat="1" applyFont="1" applyFill="1" applyBorder="1" applyAlignment="1">
      <alignment vertical="center" wrapText="1"/>
      <protection/>
    </xf>
    <xf numFmtId="1" fontId="2" fillId="0" borderId="1" xfId="1660" applyNumberFormat="1" applyFont="1" applyFill="1" applyBorder="1" applyAlignment="1">
      <alignment horizontal="center" vertical="center" wrapText="1"/>
      <protection/>
    </xf>
    <xf numFmtId="172" fontId="8" fillId="0" borderId="1" xfId="1177" applyNumberFormat="1" applyFont="1" applyFill="1" applyBorder="1" applyAlignment="1">
      <alignment horizontal="right" vertical="center"/>
    </xf>
    <xf numFmtId="0" fontId="2" fillId="0" borderId="1" xfId="17" applyFont="1" applyFill="1" applyBorder="1" applyAlignment="1">
      <alignment horizontal="center" vertical="center"/>
      <protection/>
    </xf>
    <xf numFmtId="172" fontId="8" fillId="0" borderId="1" xfId="1177" applyNumberFormat="1" applyFont="1" applyFill="1" applyBorder="1" applyAlignment="1">
      <alignment vertical="center" wrapText="1"/>
    </xf>
    <xf numFmtId="3" fontId="15" fillId="0" borderId="1" xfId="1556" applyNumberFormat="1" applyFont="1" applyFill="1" applyBorder="1" applyAlignment="1">
      <alignment vertical="center"/>
      <protection/>
    </xf>
    <xf numFmtId="3" fontId="2" fillId="0" borderId="1" xfId="1077" applyNumberFormat="1" applyFont="1" applyFill="1" applyBorder="1" applyAlignment="1">
      <alignment vertical="center" wrapText="1"/>
    </xf>
    <xf numFmtId="4" fontId="15" fillId="0" borderId="1" xfId="1161" applyNumberFormat="1" applyFont="1" applyFill="1" applyBorder="1" applyAlignment="1">
      <alignment vertical="center" wrapText="1"/>
    </xf>
    <xf numFmtId="274" fontId="8" fillId="0" borderId="1" xfId="1161" applyNumberFormat="1" applyFont="1" applyFill="1" applyBorder="1" applyAlignment="1">
      <alignment vertical="center" wrapText="1"/>
    </xf>
    <xf numFmtId="0" fontId="2" fillId="0" borderId="1" xfId="1483" applyFont="1" applyFill="1" applyBorder="1" applyAlignment="1">
      <alignment vertical="center" wrapText="1"/>
      <protection/>
    </xf>
    <xf numFmtId="0" fontId="2" fillId="0" borderId="1" xfId="1483" applyFont="1" applyFill="1" applyBorder="1" applyAlignment="1">
      <alignment horizontal="center" vertical="center" wrapText="1"/>
      <protection/>
    </xf>
    <xf numFmtId="172" fontId="8" fillId="0" borderId="1" xfId="1177" applyNumberFormat="1" applyFont="1" applyFill="1" applyBorder="1" applyAlignment="1">
      <alignment horizontal="right" vertical="center" wrapText="1"/>
    </xf>
    <xf numFmtId="0" fontId="2" fillId="0" borderId="1" xfId="18" applyFont="1" applyFill="1" applyBorder="1" applyAlignment="1">
      <alignment horizontal="left" vertical="center" wrapText="1"/>
      <protection/>
    </xf>
    <xf numFmtId="172" fontId="2" fillId="0" borderId="1" xfId="1177" applyNumberFormat="1" applyFont="1" applyFill="1" applyBorder="1" applyAlignment="1">
      <alignment horizontal="right" vertical="center" wrapText="1"/>
    </xf>
    <xf numFmtId="172" fontId="2" fillId="0" borderId="1" xfId="1177" applyNumberFormat="1" applyFont="1" applyFill="1" applyBorder="1" applyAlignment="1">
      <alignment vertical="center"/>
    </xf>
    <xf numFmtId="271" fontId="2" fillId="0" borderId="1" xfId="1203" applyNumberFormat="1" applyFont="1" applyFill="1" applyBorder="1" applyAlignment="1" quotePrefix="1">
      <alignment horizontal="center" vertical="center" wrapText="1"/>
    </xf>
    <xf numFmtId="271" fontId="2" fillId="0" borderId="1" xfId="1204" applyNumberFormat="1" applyFont="1" applyFill="1" applyBorder="1" applyAlignment="1" quotePrefix="1">
      <alignment horizontal="right" vertical="center" wrapText="1"/>
    </xf>
    <xf numFmtId="0" fontId="2" fillId="0" borderId="1" xfId="1556" applyFont="1" applyFill="1" applyBorder="1" applyAlignment="1" quotePrefix="1">
      <alignment horizontal="center" vertical="center" wrapText="1"/>
      <protection/>
    </xf>
    <xf numFmtId="4" fontId="2" fillId="0" borderId="1" xfId="0" applyNumberFormat="1" applyFont="1" applyFill="1" applyBorder="1" applyAlignment="1">
      <alignment vertical="center"/>
    </xf>
    <xf numFmtId="172" fontId="2" fillId="0" borderId="1" xfId="1052" applyNumberFormat="1" applyFont="1" applyFill="1" applyBorder="1" applyAlignment="1">
      <alignment vertical="center" wrapText="1"/>
    </xf>
    <xf numFmtId="0" fontId="8" fillId="0" borderId="1" xfId="17" applyFont="1" applyFill="1" applyBorder="1" applyAlignment="1">
      <alignment horizontal="center" vertical="center" wrapText="1"/>
      <protection/>
    </xf>
    <xf numFmtId="172" fontId="2" fillId="0" borderId="1" xfId="1556" applyNumberFormat="1" applyFont="1" applyFill="1" applyBorder="1" applyAlignment="1">
      <alignment vertical="center"/>
      <protection/>
    </xf>
    <xf numFmtId="49" fontId="2" fillId="0" borderId="1" xfId="1659" applyNumberFormat="1" applyFont="1" applyFill="1" applyBorder="1" applyAlignment="1" quotePrefix="1">
      <alignment horizontal="center" vertical="center" wrapText="1"/>
      <protection/>
    </xf>
    <xf numFmtId="0" fontId="2" fillId="0" borderId="1" xfId="1481" applyFont="1" applyFill="1" applyBorder="1" applyAlignment="1">
      <alignment vertical="center" wrapText="1"/>
      <protection/>
    </xf>
    <xf numFmtId="0" fontId="2" fillId="0" borderId="1" xfId="0" applyFont="1" applyFill="1" applyBorder="1" applyAlignment="1">
      <alignment horizontal="center" vertical="center" wrapText="1"/>
    </xf>
    <xf numFmtId="3" fontId="2" fillId="0" borderId="1" xfId="17" applyNumberFormat="1" applyFont="1" applyFill="1" applyBorder="1" applyAlignment="1">
      <alignment horizontal="left" vertical="center" wrapText="1"/>
      <protection/>
    </xf>
    <xf numFmtId="3" fontId="8" fillId="0" borderId="1" xfId="1161" applyNumberFormat="1" applyFont="1" applyFill="1" applyBorder="1" applyAlignment="1">
      <alignment vertical="center" wrapText="1"/>
    </xf>
    <xf numFmtId="0" fontId="2" fillId="0" borderId="1" xfId="0" applyFont="1" applyFill="1" applyBorder="1" applyAlignment="1">
      <alignment horizontal="left" vertical="center" wrapText="1"/>
    </xf>
    <xf numFmtId="0" fontId="1" fillId="0" borderId="1" xfId="1556" applyFont="1" applyFill="1" applyBorder="1" applyAlignment="1">
      <alignment vertical="center"/>
      <protection/>
    </xf>
    <xf numFmtId="3" fontId="2" fillId="0" borderId="1" xfId="0" applyNumberFormat="1" applyFont="1" applyFill="1" applyBorder="1" applyAlignment="1">
      <alignment vertical="center"/>
    </xf>
    <xf numFmtId="4" fontId="8" fillId="0" borderId="1" xfId="1161" applyNumberFormat="1" applyFont="1" applyFill="1" applyBorder="1" applyAlignment="1">
      <alignment vertical="center" wrapText="1"/>
    </xf>
    <xf numFmtId="3" fontId="154" fillId="0" borderId="1" xfId="0" applyNumberFormat="1" applyFont="1" applyFill="1" applyBorder="1" applyAlignment="1">
      <alignment horizontal="left" vertical="center" wrapText="1"/>
    </xf>
    <xf numFmtId="3" fontId="176" fillId="0" borderId="1" xfId="1659" applyNumberFormat="1" applyFont="1" applyFill="1" applyBorder="1" applyAlignment="1" quotePrefix="1">
      <alignment vertical="center" wrapText="1"/>
      <protection/>
    </xf>
    <xf numFmtId="0" fontId="154" fillId="0" borderId="1" xfId="0" applyFont="1" applyFill="1" applyBorder="1" applyAlignment="1">
      <alignment horizontal="left" vertical="center" wrapText="1"/>
    </xf>
    <xf numFmtId="3" fontId="2" fillId="0" borderId="1" xfId="1077" applyNumberFormat="1" applyFont="1" applyFill="1" applyBorder="1" applyAlignment="1" quotePrefix="1">
      <alignment horizontal="center" vertical="center" wrapText="1"/>
    </xf>
    <xf numFmtId="0" fontId="2" fillId="0" borderId="1" xfId="1459" applyFont="1" applyFill="1" applyBorder="1" applyAlignment="1">
      <alignment horizontal="center" vertical="center" wrapText="1"/>
      <protection/>
    </xf>
    <xf numFmtId="172" fontId="154" fillId="0" borderId="1" xfId="1177" applyNumberFormat="1" applyFont="1" applyFill="1" applyBorder="1" applyAlignment="1">
      <alignment horizontal="right" vertical="center" wrapText="1"/>
    </xf>
    <xf numFmtId="3" fontId="176" fillId="0" borderId="1" xfId="1556" applyNumberFormat="1" applyFont="1" applyFill="1" applyBorder="1" applyAlignment="1">
      <alignment vertical="center"/>
      <protection/>
    </xf>
    <xf numFmtId="172" fontId="2" fillId="0" borderId="1" xfId="1236" applyNumberFormat="1" applyFont="1" applyFill="1" applyBorder="1" applyAlignment="1">
      <alignment horizontal="center" vertical="center" wrapText="1"/>
    </xf>
    <xf numFmtId="0" fontId="2" fillId="0" borderId="1" xfId="1459" applyFont="1" applyFill="1" applyBorder="1" applyAlignment="1">
      <alignment vertical="center" wrapText="1"/>
      <protection/>
    </xf>
    <xf numFmtId="173" fontId="2" fillId="0" borderId="1" xfId="1458" applyFont="1" applyFill="1" applyBorder="1" applyAlignment="1">
      <alignment horizontal="center" vertical="center" wrapText="1"/>
      <protection/>
    </xf>
    <xf numFmtId="3" fontId="8" fillId="0" borderId="1" xfId="1458" applyNumberFormat="1" applyFont="1" applyFill="1" applyBorder="1" applyAlignment="1">
      <alignment vertical="center" wrapText="1"/>
      <protection/>
    </xf>
    <xf numFmtId="14" fontId="2" fillId="0" borderId="1" xfId="1659" applyNumberFormat="1" applyFont="1" applyFill="1" applyBorder="1" applyAlignment="1">
      <alignment horizontal="center" vertical="center" wrapText="1"/>
      <protection/>
    </xf>
    <xf numFmtId="3" fontId="8" fillId="0" borderId="1" xfId="17" applyNumberFormat="1" applyFont="1" applyFill="1" applyBorder="1" applyAlignment="1">
      <alignment horizontal="right" vertical="center"/>
      <protection/>
    </xf>
    <xf numFmtId="0" fontId="2" fillId="0" borderId="1" xfId="17" applyFont="1" applyFill="1" applyBorder="1" applyAlignment="1">
      <alignment horizontal="center" vertical="center" wrapText="1"/>
      <protection/>
    </xf>
    <xf numFmtId="1" fontId="1" fillId="0" borderId="1" xfId="1659" applyNumberFormat="1" applyFont="1" applyFill="1" applyBorder="1" applyAlignment="1">
      <alignment vertical="center"/>
      <protection/>
    </xf>
    <xf numFmtId="4" fontId="2" fillId="0" borderId="1" xfId="1077" applyNumberFormat="1" applyFont="1" applyFill="1" applyBorder="1" applyAlignment="1" quotePrefix="1">
      <alignment horizontal="center" vertical="center" wrapText="1"/>
    </xf>
    <xf numFmtId="3" fontId="176" fillId="0" borderId="1" xfId="1161" applyNumberFormat="1" applyFont="1" applyFill="1" applyBorder="1" applyAlignment="1">
      <alignment vertical="center" wrapText="1"/>
    </xf>
    <xf numFmtId="172" fontId="2" fillId="0" borderId="1" xfId="1177" applyNumberFormat="1" applyFont="1" applyFill="1" applyBorder="1" applyAlignment="1">
      <alignment vertical="center" wrapText="1"/>
    </xf>
    <xf numFmtId="178" fontId="8" fillId="0" borderId="1" xfId="17" applyNumberFormat="1" applyFont="1" applyFill="1" applyBorder="1" applyAlignment="1">
      <alignment vertical="center" shrinkToFit="1"/>
      <protection/>
    </xf>
    <xf numFmtId="178" fontId="8" fillId="0" borderId="1" xfId="1168" applyNumberFormat="1" applyFont="1" applyFill="1" applyBorder="1" applyAlignment="1">
      <alignment vertical="center" shrinkToFit="1"/>
    </xf>
    <xf numFmtId="172" fontId="8" fillId="0" borderId="1" xfId="1188" applyNumberFormat="1" applyFont="1" applyFill="1" applyBorder="1" applyAlignment="1">
      <alignment vertical="center"/>
    </xf>
    <xf numFmtId="175" fontId="2" fillId="0" borderId="1" xfId="1659" applyNumberFormat="1" applyFont="1" applyFill="1" applyBorder="1" applyAlignment="1" quotePrefix="1">
      <alignment vertical="center" wrapText="1"/>
      <protection/>
    </xf>
    <xf numFmtId="172" fontId="2" fillId="0" borderId="1" xfId="1052" applyNumberFormat="1" applyFont="1" applyFill="1" applyBorder="1" applyAlignment="1">
      <alignment horizontal="right" vertical="center"/>
    </xf>
    <xf numFmtId="0" fontId="2" fillId="0" borderId="1" xfId="1593" applyFont="1" applyFill="1" applyBorder="1" applyAlignment="1">
      <alignment horizontal="center" vertical="center" wrapText="1"/>
      <protection/>
    </xf>
    <xf numFmtId="271" fontId="2" fillId="0" borderId="1" xfId="1181" applyNumberFormat="1" applyFont="1" applyFill="1" applyBorder="1" applyAlignment="1" quotePrefix="1">
      <alignment horizontal="right" vertical="center" wrapText="1"/>
    </xf>
    <xf numFmtId="0" fontId="1" fillId="0" borderId="1" xfId="1556" applyFont="1" applyFill="1" applyBorder="1" applyAlignment="1" quotePrefix="1">
      <alignment horizontal="center" vertical="center" wrapText="1"/>
      <protection/>
    </xf>
    <xf numFmtId="273" fontId="2" fillId="0" borderId="1" xfId="0" applyNumberFormat="1" applyFont="1" applyFill="1" applyBorder="1" applyAlignment="1">
      <alignment horizontal="right" vertical="center"/>
    </xf>
    <xf numFmtId="3" fontId="15" fillId="0" borderId="1" xfId="17" applyNumberFormat="1" applyFont="1" applyFill="1" applyBorder="1" applyAlignment="1">
      <alignment vertical="center"/>
      <protection/>
    </xf>
    <xf numFmtId="0" fontId="2" fillId="0" borderId="1" xfId="1556" applyFont="1" applyFill="1" applyBorder="1" applyAlignment="1">
      <alignment vertical="center" wrapText="1"/>
      <protection/>
    </xf>
    <xf numFmtId="0" fontId="1" fillId="0" borderId="1" xfId="17" applyFont="1" applyFill="1" applyBorder="1" applyAlignment="1">
      <alignment vertical="center" wrapText="1"/>
      <protection/>
    </xf>
    <xf numFmtId="43" fontId="15" fillId="0" borderId="1" xfId="1161" applyNumberFormat="1" applyFont="1" applyFill="1" applyBorder="1" applyAlignment="1">
      <alignment vertical="center" wrapText="1"/>
    </xf>
    <xf numFmtId="0" fontId="2" fillId="0" borderId="1" xfId="21" applyFont="1" applyFill="1" applyBorder="1" applyAlignment="1">
      <alignment horizontal="center" vertical="center" wrapText="1"/>
      <protection/>
    </xf>
    <xf numFmtId="0" fontId="8" fillId="0" borderId="1" xfId="17" applyFont="1" applyFill="1" applyBorder="1" applyAlignment="1">
      <alignment horizontal="center" vertical="center"/>
      <protection/>
    </xf>
    <xf numFmtId="0" fontId="1" fillId="0" borderId="1" xfId="17" applyFont="1" applyFill="1" applyBorder="1" applyAlignment="1">
      <alignment vertical="center" wrapText="1"/>
      <protection/>
    </xf>
    <xf numFmtId="1" fontId="1" fillId="0" borderId="1" xfId="1659" applyNumberFormat="1" applyFont="1" applyFill="1" applyBorder="1" applyAlignment="1">
      <alignment vertical="center" wrapText="1"/>
      <protection/>
    </xf>
    <xf numFmtId="0" fontId="8" fillId="0" borderId="1" xfId="17" applyFont="1" applyFill="1" applyBorder="1" applyAlignment="1">
      <alignment vertical="center" wrapText="1"/>
      <protection/>
    </xf>
    <xf numFmtId="3" fontId="2" fillId="0" borderId="1" xfId="1012" applyNumberFormat="1" applyFont="1" applyFill="1" applyBorder="1" applyAlignment="1">
      <alignment vertical="center" wrapText="1"/>
    </xf>
    <xf numFmtId="0" fontId="2" fillId="0" borderId="1" xfId="1752" applyFont="1" applyFill="1" applyBorder="1" applyAlignment="1">
      <alignment vertical="center" wrapText="1"/>
      <protection/>
    </xf>
    <xf numFmtId="175" fontId="0" fillId="0" borderId="1" xfId="0" applyNumberFormat="1" applyFont="1" applyFill="1" applyBorder="1" applyAlignment="1">
      <alignment horizontal="center" vertical="center" wrapText="1"/>
    </xf>
    <xf numFmtId="175" fontId="2" fillId="0" borderId="1" xfId="1660" applyNumberFormat="1" applyFont="1" applyFill="1" applyBorder="1" applyAlignment="1">
      <alignment horizontal="center" vertical="center" wrapText="1"/>
      <protection/>
    </xf>
    <xf numFmtId="172" fontId="2" fillId="0" borderId="1" xfId="1752" applyNumberFormat="1" applyFont="1" applyFill="1" applyBorder="1" applyAlignment="1">
      <alignment vertical="center" wrapText="1"/>
      <protection/>
    </xf>
    <xf numFmtId="0" fontId="2" fillId="0" borderId="1" xfId="1752" applyFont="1" applyFill="1" applyBorder="1" applyAlignment="1">
      <alignment horizontal="center" vertical="center" wrapText="1"/>
      <protection/>
    </xf>
    <xf numFmtId="3" fontId="8" fillId="0" borderId="1" xfId="1161" applyNumberFormat="1" applyFont="1" applyFill="1" applyBorder="1" applyAlignment="1">
      <alignment vertical="center" shrinkToFit="1"/>
    </xf>
    <xf numFmtId="3" fontId="2" fillId="0" borderId="1" xfId="1659" applyNumberFormat="1" applyFont="1" applyFill="1" applyBorder="1" applyAlignment="1">
      <alignment vertical="center"/>
      <protection/>
    </xf>
    <xf numFmtId="43" fontId="2" fillId="0" borderId="1" xfId="1055" applyNumberFormat="1" applyFont="1" applyFill="1" applyBorder="1" applyAlignment="1">
      <alignment vertical="center" wrapText="1"/>
    </xf>
    <xf numFmtId="43" fontId="2" fillId="0" borderId="1" xfId="1051" applyNumberFormat="1" applyFont="1" applyFill="1" applyBorder="1" applyAlignment="1">
      <alignment horizontal="center" vertical="center" wrapText="1"/>
    </xf>
    <xf numFmtId="3" fontId="8" fillId="0" borderId="1" xfId="1188" applyNumberFormat="1" applyFont="1" applyFill="1" applyBorder="1" applyAlignment="1">
      <alignment vertical="center"/>
    </xf>
    <xf numFmtId="0" fontId="2" fillId="0" borderId="1" xfId="19" applyFont="1" applyFill="1" applyBorder="1" applyAlignment="1">
      <alignment vertical="center" wrapText="1"/>
      <protection/>
    </xf>
    <xf numFmtId="0" fontId="1" fillId="0" borderId="1" xfId="19" applyFont="1" applyFill="1" applyBorder="1" applyAlignment="1">
      <alignment vertical="center" wrapText="1"/>
      <protection/>
    </xf>
    <xf numFmtId="3" fontId="2" fillId="0" borderId="1" xfId="1662" applyNumberFormat="1" applyFont="1" applyFill="1" applyBorder="1" applyAlignment="1">
      <alignment horizontal="right" vertical="center" wrapText="1"/>
      <protection/>
    </xf>
    <xf numFmtId="14" fontId="2" fillId="0" borderId="1" xfId="1556" applyNumberFormat="1" applyFont="1" applyFill="1" applyBorder="1" applyAlignment="1">
      <alignment horizontal="center" vertical="center" wrapText="1"/>
      <protection/>
    </xf>
    <xf numFmtId="43" fontId="2" fillId="0" borderId="1" xfId="1173" applyFont="1" applyFill="1" applyBorder="1" applyAlignment="1">
      <alignment horizontal="center" vertical="center" wrapText="1"/>
    </xf>
    <xf numFmtId="172" fontId="8" fillId="0" borderId="1" xfId="1173" applyNumberFormat="1" applyFont="1" applyFill="1" applyBorder="1" applyAlignment="1">
      <alignment vertical="center" wrapText="1"/>
    </xf>
    <xf numFmtId="3" fontId="2" fillId="0" borderId="1" xfId="1661" applyNumberFormat="1" applyFont="1" applyFill="1" applyBorder="1" applyAlignment="1">
      <alignment horizontal="center" vertical="center" wrapText="1"/>
      <protection/>
    </xf>
    <xf numFmtId="0" fontId="2" fillId="55" borderId="1" xfId="1556" applyFont="1" applyFill="1" applyBorder="1" applyAlignment="1">
      <alignment horizontal="center" vertical="center" wrapText="1"/>
      <protection/>
    </xf>
    <xf numFmtId="0" fontId="2" fillId="55" borderId="1" xfId="1556" applyFont="1" applyFill="1" applyBorder="1" applyAlignment="1">
      <alignment vertical="center" wrapText="1"/>
      <protection/>
    </xf>
    <xf numFmtId="0" fontId="2" fillId="55" borderId="1" xfId="17" applyNumberFormat="1" applyFont="1" applyFill="1" applyBorder="1" applyAlignment="1">
      <alignment horizontal="center" vertical="center" wrapText="1"/>
      <protection/>
    </xf>
    <xf numFmtId="0" fontId="2" fillId="55" borderId="1" xfId="1556" applyFont="1" applyFill="1" applyBorder="1" applyAlignment="1">
      <alignment horizontal="center" vertical="center"/>
      <protection/>
    </xf>
    <xf numFmtId="1" fontId="2" fillId="55" borderId="1" xfId="1659" applyNumberFormat="1" applyFont="1" applyFill="1" applyBorder="1" applyAlignment="1">
      <alignment horizontal="center" vertical="center" wrapText="1"/>
      <protection/>
    </xf>
    <xf numFmtId="0" fontId="2" fillId="55" borderId="1" xfId="17" applyFont="1" applyFill="1" applyBorder="1" applyAlignment="1">
      <alignment horizontal="center" vertical="center" wrapText="1"/>
      <protection/>
    </xf>
    <xf numFmtId="0" fontId="8" fillId="55" borderId="1" xfId="1556" applyFont="1" applyFill="1" applyBorder="1" applyAlignment="1">
      <alignment vertical="center"/>
      <protection/>
    </xf>
    <xf numFmtId="172" fontId="8" fillId="55" borderId="1" xfId="1161" applyNumberFormat="1" applyFont="1" applyFill="1" applyBorder="1" applyAlignment="1">
      <alignment vertical="center" wrapText="1"/>
    </xf>
    <xf numFmtId="172" fontId="8" fillId="55" borderId="1" xfId="1161" applyNumberFormat="1" applyFont="1" applyFill="1" applyBorder="1" applyAlignment="1" quotePrefix="1">
      <alignment vertical="center" wrapText="1"/>
    </xf>
    <xf numFmtId="0" fontId="2" fillId="54" borderId="1" xfId="17" applyFont="1" applyFill="1" applyBorder="1" applyAlignment="1">
      <alignment horizontal="right" vertical="center" wrapText="1"/>
      <protection/>
    </xf>
    <xf numFmtId="172" fontId="2" fillId="0" borderId="1" xfId="1162" applyNumberFormat="1" applyFont="1" applyFill="1" applyBorder="1" applyAlignment="1">
      <alignment vertical="center"/>
    </xf>
    <xf numFmtId="3" fontId="2" fillId="0" borderId="1" xfId="1556" applyNumberFormat="1" applyFont="1" applyFill="1" applyBorder="1" applyAlignment="1">
      <alignment vertical="center"/>
      <protection/>
    </xf>
    <xf numFmtId="49" fontId="149" fillId="54" borderId="11" xfId="1659" applyNumberFormat="1" applyFont="1" applyFill="1" applyBorder="1" applyAlignment="1">
      <alignment horizontal="center" vertical="center"/>
      <protection/>
    </xf>
    <xf numFmtId="1" fontId="149" fillId="54" borderId="11" xfId="1659" applyNumberFormat="1" applyFont="1" applyFill="1" applyBorder="1" applyAlignment="1">
      <alignment vertical="center" wrapText="1"/>
      <protection/>
    </xf>
    <xf numFmtId="1" fontId="151" fillId="54" borderId="11" xfId="1659" applyNumberFormat="1" applyFont="1" applyFill="1" applyBorder="1" applyAlignment="1" quotePrefix="1">
      <alignment horizontal="center" vertical="center" wrapText="1"/>
      <protection/>
    </xf>
    <xf numFmtId="1" fontId="152" fillId="54" borderId="11" xfId="1659" applyNumberFormat="1" applyFont="1" applyFill="1" applyBorder="1" applyAlignment="1">
      <alignment horizontal="center" vertical="center" wrapText="1"/>
      <protection/>
    </xf>
    <xf numFmtId="1" fontId="16" fillId="54" borderId="11" xfId="1659" applyNumberFormat="1" applyFont="1" applyFill="1" applyBorder="1" applyAlignment="1" quotePrefix="1">
      <alignment horizontal="center" vertical="center" wrapText="1"/>
      <protection/>
    </xf>
    <xf numFmtId="3" fontId="149" fillId="54" borderId="11" xfId="1659" applyNumberFormat="1" applyFont="1" applyFill="1" applyBorder="1" applyAlignment="1">
      <alignment horizontal="right" vertical="center"/>
      <protection/>
    </xf>
    <xf numFmtId="3" fontId="164" fillId="54" borderId="11" xfId="1659" applyNumberFormat="1" applyFont="1" applyFill="1" applyBorder="1" applyAlignment="1">
      <alignment horizontal="right" vertical="center"/>
      <protection/>
    </xf>
    <xf numFmtId="1" fontId="151" fillId="54" borderId="11" xfId="1659" applyNumberFormat="1" applyFont="1" applyFill="1" applyBorder="1" applyAlignment="1">
      <alignment horizontal="right" vertical="center"/>
      <protection/>
    </xf>
    <xf numFmtId="49" fontId="177" fillId="54" borderId="1" xfId="1659" applyNumberFormat="1" applyFont="1" applyFill="1" applyBorder="1" applyAlignment="1">
      <alignment horizontal="center" vertical="center"/>
      <protection/>
    </xf>
    <xf numFmtId="3" fontId="177" fillId="54" borderId="1" xfId="1659" applyNumberFormat="1" applyFont="1" applyFill="1" applyBorder="1" applyAlignment="1">
      <alignment horizontal="center" vertical="center" wrapText="1"/>
      <protection/>
    </xf>
    <xf numFmtId="1" fontId="177" fillId="54" borderId="1" xfId="1659" applyNumberFormat="1" applyFont="1" applyFill="1" applyBorder="1" applyAlignment="1">
      <alignment horizontal="center" vertical="center" wrapText="1"/>
      <protection/>
    </xf>
    <xf numFmtId="3" fontId="177" fillId="54" borderId="1" xfId="1659" applyNumberFormat="1" applyFont="1" applyFill="1" applyBorder="1" applyAlignment="1">
      <alignment horizontal="right" vertical="center"/>
      <protection/>
    </xf>
    <xf numFmtId="1" fontId="178" fillId="54" borderId="1" xfId="1659" applyNumberFormat="1" applyFont="1" applyFill="1" applyBorder="1" applyAlignment="1">
      <alignment horizontal="right" vertical="center"/>
      <protection/>
    </xf>
    <xf numFmtId="49" fontId="165" fillId="54" borderId="1" xfId="1659" applyNumberFormat="1" applyFont="1" applyFill="1" applyBorder="1" applyAlignment="1">
      <alignment horizontal="center" vertical="center"/>
      <protection/>
    </xf>
    <xf numFmtId="172" fontId="165" fillId="54" borderId="1" xfId="1161" applyNumberFormat="1" applyFont="1" applyFill="1" applyBorder="1" applyAlignment="1">
      <alignment vertical="center" wrapText="1"/>
    </xf>
    <xf numFmtId="3" fontId="165" fillId="54" borderId="1" xfId="1659" applyNumberFormat="1" applyFont="1" applyFill="1" applyBorder="1" applyAlignment="1">
      <alignment horizontal="right" vertical="center"/>
      <protection/>
    </xf>
    <xf numFmtId="1" fontId="170" fillId="54" borderId="1" xfId="1659" applyNumberFormat="1" applyFont="1" applyFill="1" applyBorder="1" applyAlignment="1">
      <alignment horizontal="right" vertical="center"/>
      <protection/>
    </xf>
    <xf numFmtId="49" fontId="164" fillId="0" borderId="1" xfId="1659" applyNumberFormat="1" applyFont="1" applyFill="1" applyBorder="1" applyAlignment="1">
      <alignment horizontal="center" vertical="center"/>
      <protection/>
    </xf>
    <xf numFmtId="1" fontId="164" fillId="0" borderId="1" xfId="1659" applyNumberFormat="1" applyFont="1" applyFill="1" applyBorder="1" applyAlignment="1">
      <alignment vertical="center" wrapText="1"/>
      <protection/>
    </xf>
    <xf numFmtId="1" fontId="164" fillId="0" borderId="1" xfId="1659" applyNumberFormat="1" applyFont="1" applyFill="1" applyBorder="1" applyAlignment="1">
      <alignment horizontal="center" vertical="center" wrapText="1"/>
      <protection/>
    </xf>
    <xf numFmtId="1" fontId="165" fillId="0" borderId="1" xfId="1659" applyNumberFormat="1" applyFont="1" applyFill="1" applyBorder="1" applyAlignment="1">
      <alignment horizontal="center" vertical="center" wrapText="1"/>
      <protection/>
    </xf>
    <xf numFmtId="1" fontId="180" fillId="54" borderId="1" xfId="1659" applyNumberFormat="1" applyFont="1" applyFill="1" applyBorder="1" applyAlignment="1" quotePrefix="1">
      <alignment horizontal="center" vertical="center" wrapText="1"/>
      <protection/>
    </xf>
    <xf numFmtId="3" fontId="164" fillId="0" borderId="1" xfId="1659" applyNumberFormat="1" applyFont="1" applyFill="1" applyBorder="1" applyAlignment="1">
      <alignment horizontal="right" vertical="center"/>
      <protection/>
    </xf>
    <xf numFmtId="3" fontId="170" fillId="0" borderId="1" xfId="1659" applyNumberFormat="1" applyFont="1" applyFill="1" applyBorder="1" applyAlignment="1">
      <alignment horizontal="right" vertical="center"/>
      <protection/>
    </xf>
    <xf numFmtId="3" fontId="164" fillId="54" borderId="1" xfId="1659" applyNumberFormat="1" applyFont="1" applyFill="1" applyBorder="1" applyAlignment="1">
      <alignment horizontal="right" vertical="center"/>
      <protection/>
    </xf>
    <xf numFmtId="1" fontId="170" fillId="54" borderId="1" xfId="1659" applyNumberFormat="1" applyFont="1" applyFill="1" applyBorder="1" applyAlignment="1">
      <alignment horizontal="center" vertical="center"/>
      <protection/>
    </xf>
    <xf numFmtId="1" fontId="170" fillId="54" borderId="1" xfId="1659" applyNumberFormat="1" applyFont="1" applyFill="1" applyBorder="1" applyAlignment="1">
      <alignment horizontal="center" vertical="center" wrapText="1"/>
      <protection/>
    </xf>
    <xf numFmtId="1" fontId="165" fillId="54" borderId="1" xfId="1659" applyNumberFormat="1" applyFont="1" applyFill="1" applyBorder="1" applyAlignment="1">
      <alignment horizontal="center" vertical="center" wrapText="1"/>
      <protection/>
    </xf>
    <xf numFmtId="1" fontId="181" fillId="54" borderId="1" xfId="1659" applyNumberFormat="1" applyFont="1" applyFill="1" applyBorder="1" applyAlignment="1">
      <alignment horizontal="center" vertical="center" wrapText="1"/>
      <protection/>
    </xf>
    <xf numFmtId="49" fontId="149" fillId="54" borderId="1" xfId="1659" applyNumberFormat="1" applyFont="1" applyFill="1" applyBorder="1" applyAlignment="1">
      <alignment horizontal="center" vertical="center"/>
      <protection/>
    </xf>
    <xf numFmtId="0" fontId="149" fillId="54" borderId="1" xfId="1570" applyFont="1" applyFill="1" applyBorder="1" applyAlignment="1">
      <alignment horizontal="left" vertical="center"/>
      <protection/>
    </xf>
    <xf numFmtId="1" fontId="151" fillId="54" borderId="1" xfId="1659" applyNumberFormat="1" applyFont="1" applyFill="1" applyBorder="1" applyAlignment="1">
      <alignment horizontal="center" vertical="center" wrapText="1"/>
      <protection/>
    </xf>
    <xf numFmtId="1" fontId="151" fillId="54" borderId="1" xfId="1659" applyNumberFormat="1" applyFont="1" applyFill="1" applyBorder="1" applyAlignment="1" quotePrefix="1">
      <alignment horizontal="center" vertical="center" wrapText="1"/>
      <protection/>
    </xf>
    <xf numFmtId="1" fontId="16" fillId="54" borderId="1" xfId="1659" applyNumberFormat="1" applyFont="1" applyFill="1" applyBorder="1" applyAlignment="1">
      <alignment horizontal="center" vertical="center" wrapText="1"/>
      <protection/>
    </xf>
    <xf numFmtId="3" fontId="149" fillId="54" borderId="1" xfId="1659" applyNumberFormat="1" applyFont="1" applyFill="1" applyBorder="1" applyAlignment="1">
      <alignment horizontal="right" vertical="center"/>
      <protection/>
    </xf>
    <xf numFmtId="3" fontId="166" fillId="54" borderId="1" xfId="1659" applyNumberFormat="1" applyFont="1" applyFill="1" applyBorder="1" applyAlignment="1">
      <alignment horizontal="right" vertical="center"/>
      <protection/>
    </xf>
    <xf numFmtId="1" fontId="151" fillId="54" borderId="1" xfId="1659" applyNumberFormat="1" applyFont="1" applyFill="1" applyBorder="1" applyAlignment="1">
      <alignment horizontal="right" vertical="center"/>
      <protection/>
    </xf>
    <xf numFmtId="1" fontId="149" fillId="54" borderId="1" xfId="1659" applyNumberFormat="1" applyFont="1" applyFill="1" applyBorder="1" applyAlignment="1">
      <alignment vertical="center" wrapText="1"/>
      <protection/>
    </xf>
    <xf numFmtId="1" fontId="152" fillId="54" borderId="1" xfId="1659" applyNumberFormat="1" applyFont="1" applyFill="1" applyBorder="1" applyAlignment="1">
      <alignment horizontal="center" vertical="center" wrapText="1"/>
      <protection/>
    </xf>
    <xf numFmtId="1" fontId="16" fillId="54" borderId="1" xfId="1659" applyNumberFormat="1" applyFont="1" applyFill="1" applyBorder="1" applyAlignment="1" quotePrefix="1">
      <alignment horizontal="center" vertical="center" wrapText="1"/>
      <protection/>
    </xf>
    <xf numFmtId="3" fontId="164" fillId="54" borderId="1" xfId="1659" applyNumberFormat="1" applyFont="1" applyFill="1" applyBorder="1" applyAlignment="1">
      <alignment horizontal="right" vertical="center"/>
      <protection/>
    </xf>
    <xf numFmtId="1" fontId="170" fillId="54" borderId="1" xfId="1659" applyNumberFormat="1" applyFont="1" applyFill="1" applyBorder="1" applyAlignment="1">
      <alignment vertical="center" wrapText="1"/>
      <protection/>
    </xf>
    <xf numFmtId="0" fontId="149" fillId="54" borderId="1" xfId="1570" applyFont="1" applyFill="1" applyBorder="1" applyAlignment="1">
      <alignment horizontal="left" vertical="center" wrapText="1"/>
      <protection/>
    </xf>
    <xf numFmtId="172" fontId="2" fillId="0" borderId="1" xfId="1659" applyNumberFormat="1" applyFont="1" applyFill="1" applyBorder="1" applyAlignment="1">
      <alignment horizontal="left" vertical="center" wrapText="1"/>
      <protection/>
    </xf>
    <xf numFmtId="0" fontId="4" fillId="0" borderId="1" xfId="1464" applyFont="1" applyFill="1" applyBorder="1" applyAlignment="1">
      <alignment vertical="center" wrapText="1"/>
      <protection/>
    </xf>
    <xf numFmtId="3" fontId="2" fillId="0" borderId="1" xfId="1077" applyNumberFormat="1" applyFont="1" applyFill="1" applyBorder="1" applyAlignment="1">
      <alignment vertical="center" wrapText="1"/>
    </xf>
    <xf numFmtId="3" fontId="8" fillId="0" borderId="1" xfId="17" applyNumberFormat="1" applyFont="1" applyFill="1" applyBorder="1" applyAlignment="1">
      <alignment vertical="center" wrapText="1"/>
      <protection/>
    </xf>
    <xf numFmtId="3" fontId="8" fillId="0" borderId="1" xfId="763" applyNumberFormat="1" applyFont="1" applyFill="1" applyBorder="1" applyAlignment="1">
      <alignment vertical="center"/>
    </xf>
    <xf numFmtId="3" fontId="2" fillId="0" borderId="1" xfId="763" applyNumberFormat="1" applyFont="1" applyFill="1" applyBorder="1" applyAlignment="1">
      <alignment vertical="center"/>
    </xf>
    <xf numFmtId="274" fontId="1" fillId="0" borderId="1" xfId="1077" applyNumberFormat="1" applyFont="1" applyFill="1" applyBorder="1" applyAlignment="1" quotePrefix="1">
      <alignment horizontal="center" vertical="center" wrapText="1"/>
    </xf>
    <xf numFmtId="274" fontId="2" fillId="0" borderId="1" xfId="1077" applyNumberFormat="1" applyFont="1" applyFill="1" applyBorder="1" applyAlignment="1">
      <alignment horizontal="center" vertical="center" wrapText="1"/>
    </xf>
    <xf numFmtId="0" fontId="2" fillId="0" borderId="21" xfId="1556" applyFont="1" applyFill="1" applyBorder="1" applyAlignment="1">
      <alignment horizontal="center" vertical="center" wrapText="1"/>
      <protection/>
    </xf>
    <xf numFmtId="0" fontId="2" fillId="0" borderId="21" xfId="1556" applyFont="1" applyFill="1" applyBorder="1" applyAlignment="1">
      <alignment vertical="center" wrapText="1"/>
      <protection/>
    </xf>
    <xf numFmtId="0" fontId="2" fillId="0" borderId="21" xfId="17" applyNumberFormat="1" applyFont="1" applyFill="1" applyBorder="1" applyAlignment="1">
      <alignment horizontal="center" vertical="center" wrapText="1"/>
      <protection/>
    </xf>
    <xf numFmtId="0" fontId="2" fillId="0" borderId="21" xfId="1556" applyFont="1" applyFill="1" applyBorder="1" applyAlignment="1">
      <alignment horizontal="center" vertical="center"/>
      <protection/>
    </xf>
    <xf numFmtId="1" fontId="2" fillId="0" borderId="21" xfId="1659" applyNumberFormat="1" applyFont="1" applyFill="1" applyBorder="1" applyAlignment="1">
      <alignment horizontal="center" vertical="center" wrapText="1"/>
      <protection/>
    </xf>
    <xf numFmtId="0" fontId="2" fillId="0" borderId="21" xfId="17" applyFont="1" applyFill="1" applyBorder="1" applyAlignment="1">
      <alignment horizontal="center" vertical="center" wrapText="1"/>
      <protection/>
    </xf>
    <xf numFmtId="0" fontId="8" fillId="0" borderId="21" xfId="1556" applyFont="1" applyFill="1" applyBorder="1" applyAlignment="1">
      <alignment vertical="center"/>
      <protection/>
    </xf>
    <xf numFmtId="172" fontId="2" fillId="0" borderId="21" xfId="1161" applyNumberFormat="1" applyFont="1" applyFill="1" applyBorder="1" applyAlignment="1">
      <alignment vertical="center" wrapText="1"/>
    </xf>
    <xf numFmtId="172" fontId="8" fillId="0" borderId="21" xfId="1161" applyNumberFormat="1" applyFont="1" applyFill="1" applyBorder="1" applyAlignment="1">
      <alignment vertical="center" wrapText="1"/>
    </xf>
    <xf numFmtId="3" fontId="1" fillId="54" borderId="1" xfId="1659" applyNumberFormat="1" applyFont="1" applyFill="1" applyBorder="1" applyAlignment="1">
      <alignment horizontal="center" vertical="center" wrapText="1"/>
      <protection/>
    </xf>
    <xf numFmtId="3" fontId="230" fillId="0" borderId="1" xfId="1659" applyNumberFormat="1" applyFont="1" applyFill="1" applyBorder="1" applyAlignment="1">
      <alignment horizontal="center" vertical="center" wrapText="1"/>
      <protection/>
    </xf>
    <xf numFmtId="0" fontId="230" fillId="0" borderId="1" xfId="1556" applyNumberFormat="1" applyFont="1" applyFill="1" applyBorder="1" applyAlignment="1">
      <alignment vertical="center" wrapText="1"/>
      <protection/>
    </xf>
    <xf numFmtId="3" fontId="230" fillId="0" borderId="1" xfId="1659" applyNumberFormat="1" applyFont="1" applyFill="1" applyBorder="1" applyAlignment="1" quotePrefix="1">
      <alignment horizontal="center" vertical="center" wrapText="1"/>
      <protection/>
    </xf>
    <xf numFmtId="3" fontId="231" fillId="0" borderId="1" xfId="1659" applyNumberFormat="1" applyFont="1" applyFill="1" applyBorder="1" applyAlignment="1" quotePrefix="1">
      <alignment horizontal="center" vertical="center" wrapText="1"/>
      <protection/>
    </xf>
    <xf numFmtId="3" fontId="232" fillId="0" borderId="1" xfId="1659" applyNumberFormat="1" applyFont="1" applyFill="1" applyBorder="1" applyAlignment="1" quotePrefix="1">
      <alignment vertical="center" wrapText="1"/>
      <protection/>
    </xf>
    <xf numFmtId="0" fontId="232" fillId="0" borderId="1" xfId="1556" applyFont="1" applyFill="1" applyBorder="1" applyAlignment="1">
      <alignment vertical="center"/>
      <protection/>
    </xf>
    <xf numFmtId="172" fontId="232" fillId="0" borderId="1" xfId="1161" applyNumberFormat="1" applyFont="1" applyFill="1" applyBorder="1" applyAlignment="1" quotePrefix="1">
      <alignment vertical="center" wrapText="1"/>
    </xf>
    <xf numFmtId="172" fontId="230" fillId="0" borderId="1" xfId="1161" applyNumberFormat="1" applyFont="1" applyFill="1" applyBorder="1" applyAlignment="1">
      <alignment horizontal="center" vertical="center" wrapText="1"/>
    </xf>
    <xf numFmtId="172" fontId="232" fillId="0" borderId="21" xfId="1161" applyNumberFormat="1" applyFont="1" applyFill="1" applyBorder="1" applyAlignment="1" quotePrefix="1">
      <alignment horizontal="center" vertical="center" wrapText="1"/>
    </xf>
    <xf numFmtId="3" fontId="232" fillId="0" borderId="21" xfId="1161" applyNumberFormat="1" applyFont="1" applyFill="1" applyBorder="1" applyAlignment="1" quotePrefix="1">
      <alignment horizontal="center" vertical="center" wrapText="1"/>
    </xf>
    <xf numFmtId="172" fontId="230" fillId="0" borderId="39" xfId="1161" applyNumberFormat="1" applyFont="1" applyFill="1" applyBorder="1" applyAlignment="1">
      <alignment horizontal="center" vertical="center" wrapText="1"/>
    </xf>
    <xf numFmtId="172" fontId="230" fillId="0" borderId="1" xfId="1161" applyNumberFormat="1" applyFont="1" applyFill="1" applyBorder="1" applyAlignment="1">
      <alignment vertical="center" wrapText="1"/>
    </xf>
    <xf numFmtId="3" fontId="233" fillId="0" borderId="0" xfId="1659" applyNumberFormat="1" applyFont="1" applyFill="1" applyBorder="1" applyAlignment="1">
      <alignment vertical="center" wrapText="1"/>
      <protection/>
    </xf>
    <xf numFmtId="3" fontId="230" fillId="0" borderId="0" xfId="1659" applyNumberFormat="1" applyFont="1" applyFill="1" applyBorder="1" applyAlignment="1">
      <alignment vertical="center" wrapText="1"/>
      <protection/>
    </xf>
    <xf numFmtId="0" fontId="230" fillId="0" borderId="1" xfId="1556" applyFont="1" applyFill="1" applyBorder="1" applyAlignment="1">
      <alignment vertical="center" wrapText="1"/>
      <protection/>
    </xf>
    <xf numFmtId="172" fontId="232" fillId="0" borderId="1" xfId="1161" applyNumberFormat="1" applyFont="1" applyFill="1" applyBorder="1" applyAlignment="1">
      <alignment vertical="center" wrapText="1"/>
    </xf>
    <xf numFmtId="3" fontId="230" fillId="0" borderId="1" xfId="1659" applyNumberFormat="1" applyFont="1" applyFill="1" applyBorder="1" applyAlignment="1" quotePrefix="1">
      <alignment horizontal="center" vertical="center" wrapText="1"/>
      <protection/>
    </xf>
    <xf numFmtId="1" fontId="230" fillId="0" borderId="1" xfId="1659" applyNumberFormat="1" applyFont="1" applyFill="1" applyBorder="1" applyAlignment="1">
      <alignment horizontal="center" vertical="center" wrapText="1"/>
      <protection/>
    </xf>
    <xf numFmtId="175" fontId="232" fillId="0" borderId="1" xfId="1659" applyNumberFormat="1" applyFont="1" applyFill="1" applyBorder="1" applyAlignment="1" quotePrefix="1">
      <alignment vertical="center" wrapText="1"/>
      <protection/>
    </xf>
    <xf numFmtId="3" fontId="234" fillId="0" borderId="1" xfId="1659" applyNumberFormat="1" applyFont="1" applyFill="1" applyBorder="1" applyAlignment="1" quotePrefix="1">
      <alignment vertical="center" wrapText="1"/>
      <protection/>
    </xf>
    <xf numFmtId="3" fontId="230" fillId="0" borderId="0" xfId="1659" applyNumberFormat="1" applyFont="1" applyFill="1" applyBorder="1" applyAlignment="1">
      <alignment vertical="center" wrapText="1"/>
      <protection/>
    </xf>
    <xf numFmtId="1" fontId="230" fillId="0" borderId="0" xfId="1659" applyNumberFormat="1" applyFont="1" applyFill="1" applyAlignment="1">
      <alignment vertical="center"/>
      <protection/>
    </xf>
    <xf numFmtId="0" fontId="230" fillId="0" borderId="1" xfId="1556" applyFont="1" applyFill="1" applyBorder="1" applyAlignment="1">
      <alignment horizontal="center" vertical="center" wrapText="1"/>
      <protection/>
    </xf>
    <xf numFmtId="1" fontId="230" fillId="0" borderId="1" xfId="1659" applyNumberFormat="1" applyFont="1" applyFill="1" applyBorder="1" applyAlignment="1">
      <alignment vertical="center" wrapText="1"/>
      <protection/>
    </xf>
    <xf numFmtId="0" fontId="230" fillId="0" borderId="1" xfId="17" applyNumberFormat="1" applyFont="1" applyFill="1" applyBorder="1" applyAlignment="1">
      <alignment horizontal="center" vertical="center" wrapText="1"/>
      <protection/>
    </xf>
    <xf numFmtId="0" fontId="230" fillId="0" borderId="1" xfId="1556" applyFont="1" applyFill="1" applyBorder="1" applyAlignment="1">
      <alignment horizontal="center" vertical="center"/>
      <protection/>
    </xf>
    <xf numFmtId="0" fontId="230" fillId="0" borderId="1" xfId="17" applyFont="1" applyFill="1" applyBorder="1" applyAlignment="1">
      <alignment horizontal="center" vertical="center" wrapText="1"/>
      <protection/>
    </xf>
    <xf numFmtId="172" fontId="232" fillId="0" borderId="1" xfId="1161" applyNumberFormat="1" applyFont="1" applyFill="1" applyBorder="1" applyAlignment="1">
      <alignment vertical="center"/>
    </xf>
    <xf numFmtId="0" fontId="230" fillId="0" borderId="0" xfId="1556" applyFont="1" applyFill="1" applyAlignment="1">
      <alignment vertical="center"/>
      <protection/>
    </xf>
    <xf numFmtId="49" fontId="230" fillId="0" borderId="1" xfId="17" applyNumberFormat="1" applyFont="1" applyFill="1" applyBorder="1" applyAlignment="1">
      <alignment vertical="center" wrapText="1"/>
      <protection/>
    </xf>
    <xf numFmtId="0" fontId="233" fillId="0" borderId="1" xfId="1556" applyFont="1" applyFill="1" applyBorder="1" applyAlignment="1">
      <alignment horizontal="center" vertical="center"/>
      <protection/>
    </xf>
    <xf numFmtId="49" fontId="233" fillId="0" borderId="1" xfId="1556" applyNumberFormat="1" applyFont="1" applyFill="1" applyBorder="1" applyAlignment="1">
      <alignment horizontal="center" vertical="center"/>
      <protection/>
    </xf>
    <xf numFmtId="0" fontId="233" fillId="0" borderId="1" xfId="17" applyFont="1" applyFill="1" applyBorder="1" applyAlignment="1">
      <alignment horizontal="center" vertical="center" wrapText="1"/>
      <protection/>
    </xf>
    <xf numFmtId="172" fontId="234" fillId="0" borderId="1" xfId="1161" applyNumberFormat="1" applyFont="1" applyFill="1" applyBorder="1" applyAlignment="1">
      <alignment vertical="center"/>
    </xf>
    <xf numFmtId="0" fontId="234" fillId="0" borderId="1" xfId="1556" applyFont="1" applyFill="1" applyBorder="1" applyAlignment="1">
      <alignment vertical="center"/>
      <protection/>
    </xf>
    <xf numFmtId="3" fontId="234" fillId="0" borderId="1" xfId="1659" applyNumberFormat="1" applyFont="1" applyFill="1" applyBorder="1" applyAlignment="1" quotePrefix="1">
      <alignment horizontal="right" vertical="center" wrapText="1"/>
      <protection/>
    </xf>
    <xf numFmtId="172" fontId="234" fillId="0" borderId="1" xfId="1161" applyNumberFormat="1" applyFont="1" applyFill="1" applyBorder="1" applyAlignment="1">
      <alignment vertical="center" wrapText="1"/>
    </xf>
    <xf numFmtId="172" fontId="233" fillId="0" borderId="39" xfId="1161" applyNumberFormat="1" applyFont="1" applyFill="1" applyBorder="1" applyAlignment="1">
      <alignment horizontal="center" vertical="center" wrapText="1"/>
    </xf>
    <xf numFmtId="0" fontId="233" fillId="0" borderId="0" xfId="1556" applyFont="1" applyFill="1" applyAlignment="1">
      <alignment vertical="center"/>
      <protection/>
    </xf>
    <xf numFmtId="0" fontId="230" fillId="0" borderId="1" xfId="1556" applyFont="1" applyFill="1" applyBorder="1" applyAlignment="1">
      <alignment horizontal="center" vertical="center" wrapText="1"/>
      <protection/>
    </xf>
    <xf numFmtId="0" fontId="230" fillId="0" borderId="1" xfId="17" applyFont="1" applyFill="1" applyBorder="1" applyAlignment="1">
      <alignment vertical="center" wrapText="1"/>
      <protection/>
    </xf>
    <xf numFmtId="172" fontId="232" fillId="0" borderId="1" xfId="1161" applyNumberFormat="1" applyFont="1" applyFill="1" applyBorder="1" applyAlignment="1">
      <alignment horizontal="right" vertical="center" wrapText="1"/>
    </xf>
    <xf numFmtId="3" fontId="232" fillId="0" borderId="1" xfId="1659" applyNumberFormat="1" applyFont="1" applyFill="1" applyBorder="1" applyAlignment="1" quotePrefix="1">
      <alignment horizontal="right" vertical="center" wrapText="1"/>
      <protection/>
    </xf>
    <xf numFmtId="0" fontId="230" fillId="0" borderId="1" xfId="1663" applyFont="1" applyFill="1" applyBorder="1" applyAlignment="1" quotePrefix="1">
      <alignment horizontal="center" vertical="center" wrapText="1"/>
      <protection/>
    </xf>
    <xf numFmtId="3" fontId="230" fillId="0" borderId="1" xfId="1658" applyNumberFormat="1" applyFont="1" applyFill="1" applyBorder="1" applyAlignment="1">
      <alignment vertical="center" wrapText="1"/>
      <protection/>
    </xf>
    <xf numFmtId="271" fontId="230" fillId="0" borderId="1" xfId="1200" applyNumberFormat="1" applyFont="1" applyFill="1" applyBorder="1" applyAlignment="1" quotePrefix="1">
      <alignment horizontal="right" vertical="center" wrapText="1"/>
    </xf>
    <xf numFmtId="0" fontId="4" fillId="0" borderId="1" xfId="1556" applyFont="1" applyFill="1" applyBorder="1" applyAlignment="1" quotePrefix="1">
      <alignment horizontal="center" vertical="center" wrapText="1"/>
      <protection/>
    </xf>
    <xf numFmtId="0" fontId="4" fillId="0" borderId="1" xfId="17" applyFont="1" applyFill="1" applyBorder="1" applyAlignment="1">
      <alignment horizontal="left" vertical="center" wrapText="1"/>
      <protection/>
    </xf>
    <xf numFmtId="0" fontId="4" fillId="0" borderId="1" xfId="1556" applyFont="1" applyFill="1" applyBorder="1" applyAlignment="1">
      <alignment horizontal="center" vertical="center"/>
      <protection/>
    </xf>
    <xf numFmtId="3" fontId="4" fillId="0" borderId="1" xfId="1659" applyNumberFormat="1" applyFont="1" applyFill="1" applyBorder="1" applyAlignment="1" quotePrefix="1">
      <alignment horizontal="center" vertical="center" wrapText="1"/>
      <protection/>
    </xf>
    <xf numFmtId="3" fontId="184" fillId="0" borderId="1" xfId="1659" applyNumberFormat="1" applyFont="1" applyFill="1" applyBorder="1" applyAlignment="1" quotePrefix="1">
      <alignment vertical="center" wrapText="1"/>
      <protection/>
    </xf>
    <xf numFmtId="3" fontId="184" fillId="0" borderId="1" xfId="1556" applyNumberFormat="1" applyFont="1" applyFill="1" applyBorder="1" applyAlignment="1">
      <alignment vertical="center"/>
      <protection/>
    </xf>
    <xf numFmtId="172" fontId="4" fillId="0" borderId="1" xfId="1161" applyNumberFormat="1" applyFont="1" applyFill="1" applyBorder="1" applyAlignment="1">
      <alignment horizontal="center" vertical="center" wrapText="1"/>
    </xf>
    <xf numFmtId="3" fontId="184" fillId="0" borderId="21" xfId="1556" applyNumberFormat="1" applyFont="1" applyFill="1" applyBorder="1" applyAlignment="1">
      <alignment horizontal="center" vertical="center"/>
      <protection/>
    </xf>
    <xf numFmtId="172" fontId="4" fillId="0" borderId="39" xfId="1161" applyNumberFormat="1" applyFont="1" applyFill="1" applyBorder="1" applyAlignment="1">
      <alignment horizontal="center" vertical="center" wrapText="1"/>
    </xf>
    <xf numFmtId="3" fontId="4" fillId="0" borderId="39" xfId="1659" applyNumberFormat="1" applyFont="1" applyFill="1" applyBorder="1" applyAlignment="1">
      <alignment horizontal="center" vertical="center" wrapText="1"/>
      <protection/>
    </xf>
    <xf numFmtId="172" fontId="4" fillId="0" borderId="1" xfId="1161" applyNumberFormat="1" applyFont="1" applyFill="1" applyBorder="1" applyAlignment="1">
      <alignment vertical="center" wrapText="1"/>
    </xf>
    <xf numFmtId="3" fontId="4" fillId="0" borderId="0" xfId="1659" applyNumberFormat="1" applyFont="1" applyFill="1" applyBorder="1" applyAlignment="1">
      <alignment vertical="center" wrapText="1"/>
      <protection/>
    </xf>
    <xf numFmtId="1" fontId="4" fillId="0" borderId="0" xfId="1659" applyNumberFormat="1" applyFont="1" applyFill="1" applyAlignment="1">
      <alignment vertical="center"/>
      <protection/>
    </xf>
    <xf numFmtId="0" fontId="2" fillId="0" borderId="21" xfId="1481" applyFont="1" applyFill="1" applyBorder="1" applyAlignment="1">
      <alignment vertical="center" wrapText="1"/>
      <protection/>
    </xf>
    <xf numFmtId="3" fontId="8" fillId="0" borderId="21" xfId="17" applyNumberFormat="1" applyFont="1" applyFill="1" applyBorder="1" applyAlignment="1">
      <alignment vertical="center"/>
      <protection/>
    </xf>
    <xf numFmtId="3" fontId="8" fillId="0" borderId="21" xfId="1556" applyNumberFormat="1" applyFont="1" applyFill="1" applyBorder="1" applyAlignment="1">
      <alignment vertical="center"/>
      <protection/>
    </xf>
    <xf numFmtId="172" fontId="8" fillId="0" borderId="21" xfId="1556" applyNumberFormat="1" applyFont="1" applyFill="1" applyBorder="1" applyAlignment="1">
      <alignment vertical="center"/>
      <protection/>
    </xf>
    <xf numFmtId="3" fontId="1" fillId="0" borderId="1" xfId="1556" applyNumberFormat="1" applyFont="1" applyFill="1" applyBorder="1" applyAlignment="1">
      <alignment horizontal="center" vertical="center"/>
      <protection/>
    </xf>
    <xf numFmtId="172" fontId="8" fillId="56" borderId="1" xfId="1161" applyNumberFormat="1" applyFont="1" applyFill="1" applyBorder="1" applyAlignment="1">
      <alignment vertical="center" wrapText="1"/>
    </xf>
    <xf numFmtId="172" fontId="2" fillId="56" borderId="1" xfId="1161" applyNumberFormat="1" applyFont="1" applyFill="1" applyBorder="1" applyAlignment="1">
      <alignment horizontal="center" vertical="center" wrapText="1"/>
    </xf>
    <xf numFmtId="172" fontId="2" fillId="56" borderId="1" xfId="1161" applyNumberFormat="1" applyFont="1" applyFill="1" applyBorder="1" applyAlignment="1">
      <alignment vertical="center" wrapText="1"/>
    </xf>
    <xf numFmtId="172" fontId="2" fillId="56" borderId="0" xfId="1556" applyNumberFormat="1" applyFont="1" applyFill="1" applyAlignment="1">
      <alignment vertical="center"/>
      <protection/>
    </xf>
    <xf numFmtId="172" fontId="2" fillId="56" borderId="0" xfId="1161" applyNumberFormat="1" applyFont="1" applyFill="1" applyBorder="1" applyAlignment="1">
      <alignment vertical="center" wrapText="1"/>
    </xf>
    <xf numFmtId="0" fontId="2" fillId="56" borderId="0" xfId="1556" applyFont="1" applyFill="1" applyAlignment="1">
      <alignment vertical="center"/>
      <protection/>
    </xf>
    <xf numFmtId="172" fontId="2" fillId="56" borderId="21" xfId="1161" applyNumberFormat="1" applyFont="1" applyFill="1" applyBorder="1" applyAlignment="1">
      <alignment horizontal="center" vertical="center" wrapText="1"/>
    </xf>
    <xf numFmtId="3" fontId="2" fillId="56" borderId="21" xfId="1161" applyNumberFormat="1" applyFont="1" applyFill="1" applyBorder="1" applyAlignment="1">
      <alignment horizontal="center" vertical="center" wrapText="1"/>
    </xf>
    <xf numFmtId="172" fontId="2" fillId="56" borderId="0" xfId="1161" applyNumberFormat="1" applyFont="1" applyFill="1" applyBorder="1" applyAlignment="1">
      <alignment horizontal="center" vertical="center" wrapText="1"/>
    </xf>
    <xf numFmtId="0" fontId="2" fillId="55" borderId="1" xfId="17" applyFont="1" applyFill="1" applyBorder="1" applyAlignment="1">
      <alignment vertical="center" wrapText="1"/>
      <protection/>
    </xf>
    <xf numFmtId="0" fontId="2" fillId="55" borderId="1" xfId="1556" applyFont="1" applyFill="1" applyBorder="1" applyAlignment="1">
      <alignment horizontal="center" vertical="center" wrapText="1"/>
      <protection/>
    </xf>
    <xf numFmtId="0" fontId="2" fillId="55" borderId="1" xfId="1556" applyFont="1" applyFill="1" applyBorder="1" applyAlignment="1">
      <alignment vertical="center"/>
      <protection/>
    </xf>
    <xf numFmtId="172" fontId="2" fillId="55" borderId="1" xfId="1556" applyNumberFormat="1" applyFont="1" applyFill="1" applyBorder="1" applyAlignment="1">
      <alignment vertical="center"/>
      <protection/>
    </xf>
    <xf numFmtId="172" fontId="8" fillId="55" borderId="1" xfId="1161" applyNumberFormat="1" applyFont="1" applyFill="1" applyBorder="1" applyAlignment="1">
      <alignment vertical="center"/>
    </xf>
    <xf numFmtId="3" fontId="2" fillId="0" borderId="1" xfId="1659" applyNumberFormat="1" applyFont="1" applyFill="1" applyBorder="1" applyAlignment="1">
      <alignment horizontal="center" vertical="center" wrapText="1"/>
      <protection/>
    </xf>
    <xf numFmtId="3" fontId="2" fillId="0" borderId="31" xfId="1659" applyNumberFormat="1" applyFont="1" applyFill="1" applyBorder="1" applyAlignment="1">
      <alignment horizontal="center" vertical="center" wrapText="1"/>
      <protection/>
    </xf>
    <xf numFmtId="3" fontId="2" fillId="0" borderId="10" xfId="1659" applyNumberFormat="1" applyFont="1" applyFill="1" applyBorder="1" applyAlignment="1">
      <alignment horizontal="center" vertical="center" wrapText="1"/>
      <protection/>
    </xf>
    <xf numFmtId="3" fontId="2" fillId="0" borderId="8" xfId="1659" applyNumberFormat="1" applyFont="1" applyFill="1" applyBorder="1" applyAlignment="1">
      <alignment horizontal="center" vertical="center" wrapText="1"/>
      <protection/>
    </xf>
    <xf numFmtId="3" fontId="2" fillId="0" borderId="1" xfId="1659" applyNumberFormat="1" applyFont="1" applyFill="1" applyBorder="1" applyAlignment="1">
      <alignment horizontal="center" vertical="center" wrapText="1"/>
      <protection/>
    </xf>
    <xf numFmtId="172" fontId="2" fillId="0" borderId="1" xfId="1161" applyNumberFormat="1" applyFont="1" applyFill="1" applyBorder="1" applyAlignment="1">
      <alignment horizontal="center" vertical="center" wrapText="1"/>
    </xf>
    <xf numFmtId="172" fontId="2" fillId="0" borderId="39" xfId="1161" applyNumberFormat="1" applyFont="1" applyFill="1" applyBorder="1" applyAlignment="1">
      <alignment horizontal="left" vertical="center" wrapText="1"/>
    </xf>
    <xf numFmtId="172" fontId="2" fillId="0" borderId="0" xfId="1161" applyNumberFormat="1" applyFont="1" applyFill="1" applyBorder="1" applyAlignment="1">
      <alignment horizontal="left" vertical="center" wrapText="1"/>
    </xf>
    <xf numFmtId="3" fontId="2" fillId="0" borderId="28" xfId="1659" applyNumberFormat="1" applyFont="1" applyFill="1" applyBorder="1" applyAlignment="1">
      <alignment horizontal="center" vertical="center" wrapText="1"/>
      <protection/>
    </xf>
    <xf numFmtId="3" fontId="2" fillId="0" borderId="0" xfId="1659" applyNumberFormat="1" applyFont="1" applyFill="1" applyBorder="1" applyAlignment="1">
      <alignment horizontal="center" vertical="center" wrapText="1"/>
      <protection/>
    </xf>
    <xf numFmtId="3" fontId="2" fillId="0" borderId="39" xfId="1659" applyNumberFormat="1" applyFont="1" applyFill="1" applyBorder="1" applyAlignment="1">
      <alignment horizontal="center" vertical="center" wrapText="1"/>
      <protection/>
    </xf>
    <xf numFmtId="0" fontId="2" fillId="0" borderId="0" xfId="1556" applyFont="1" applyFill="1" applyAlignment="1">
      <alignment vertical="center"/>
      <protection/>
    </xf>
    <xf numFmtId="1" fontId="1" fillId="0" borderId="0" xfId="1659" applyNumberFormat="1" applyFont="1" applyFill="1" applyAlignment="1">
      <alignment horizontal="right" vertical="center"/>
      <protection/>
    </xf>
    <xf numFmtId="1" fontId="1" fillId="0" borderId="0" xfId="1659" applyNumberFormat="1" applyFont="1" applyFill="1" applyAlignment="1">
      <alignment horizontal="center" vertical="center"/>
      <protection/>
    </xf>
    <xf numFmtId="1" fontId="1" fillId="0" borderId="0" xfId="1659" applyNumberFormat="1" applyFont="1" applyFill="1" applyAlignment="1">
      <alignment horizontal="center" vertical="center" wrapText="1"/>
      <protection/>
    </xf>
    <xf numFmtId="1" fontId="4" fillId="0" borderId="0" xfId="1659" applyNumberFormat="1" applyFont="1" applyFill="1" applyAlignment="1">
      <alignment horizontal="center" vertical="center" wrapText="1"/>
      <protection/>
    </xf>
    <xf numFmtId="1" fontId="4" fillId="0" borderId="5" xfId="1659" applyNumberFormat="1" applyFont="1" applyFill="1" applyBorder="1" applyAlignment="1">
      <alignment horizontal="right" vertical="center"/>
      <protection/>
    </xf>
    <xf numFmtId="172" fontId="2" fillId="0" borderId="1" xfId="1161" applyNumberFormat="1" applyFont="1" applyFill="1" applyBorder="1" applyAlignment="1">
      <alignment horizontal="center" vertical="center"/>
    </xf>
    <xf numFmtId="1" fontId="2" fillId="0" borderId="1" xfId="1659" applyNumberFormat="1" applyFont="1" applyFill="1" applyBorder="1" applyAlignment="1">
      <alignment horizontal="center" vertical="center"/>
      <protection/>
    </xf>
    <xf numFmtId="172" fontId="2" fillId="0" borderId="1" xfId="1161" applyNumberFormat="1" applyFont="1" applyFill="1" applyBorder="1" applyAlignment="1">
      <alignment horizontal="center" vertical="center" wrapText="1"/>
    </xf>
    <xf numFmtId="3" fontId="2" fillId="0" borderId="31" xfId="1659" applyNumberFormat="1" applyFont="1" applyFill="1" applyBorder="1" applyAlignment="1">
      <alignment horizontal="center" vertical="center" wrapText="1"/>
      <protection/>
    </xf>
    <xf numFmtId="3" fontId="2" fillId="0" borderId="10" xfId="1659" applyNumberFormat="1" applyFont="1" applyFill="1" applyBorder="1" applyAlignment="1">
      <alignment horizontal="center" vertical="center" wrapText="1"/>
      <protection/>
    </xf>
    <xf numFmtId="3" fontId="2" fillId="0" borderId="8" xfId="1659" applyNumberFormat="1" applyFont="1" applyFill="1" applyBorder="1" applyAlignment="1">
      <alignment horizontal="center" vertical="center" wrapText="1"/>
      <protection/>
    </xf>
    <xf numFmtId="172" fontId="2" fillId="0" borderId="31" xfId="1161" applyNumberFormat="1" applyFont="1" applyFill="1" applyBorder="1" applyAlignment="1">
      <alignment horizontal="center" vertical="center" wrapText="1"/>
    </xf>
    <xf numFmtId="172" fontId="2" fillId="0" borderId="10" xfId="1161" applyNumberFormat="1" applyFont="1" applyFill="1" applyBorder="1" applyAlignment="1">
      <alignment horizontal="center" vertical="center" wrapText="1"/>
    </xf>
    <xf numFmtId="172" fontId="2" fillId="0" borderId="8" xfId="1161" applyNumberFormat="1" applyFont="1" applyFill="1" applyBorder="1" applyAlignment="1">
      <alignment horizontal="center" vertical="center" wrapText="1"/>
    </xf>
    <xf numFmtId="1" fontId="164" fillId="54" borderId="31" xfId="1659" applyNumberFormat="1" applyFont="1" applyFill="1" applyBorder="1" applyAlignment="1">
      <alignment horizontal="center" vertical="center" wrapText="1"/>
      <protection/>
    </xf>
    <xf numFmtId="1" fontId="164" fillId="54" borderId="10" xfId="1659" applyNumberFormat="1" applyFont="1" applyFill="1" applyBorder="1" applyAlignment="1">
      <alignment horizontal="center" vertical="center" wrapText="1"/>
      <protection/>
    </xf>
    <xf numFmtId="1" fontId="164" fillId="54" borderId="8" xfId="1659" applyNumberFormat="1" applyFont="1" applyFill="1" applyBorder="1" applyAlignment="1">
      <alignment horizontal="center" vertical="center" wrapText="1"/>
      <protection/>
    </xf>
    <xf numFmtId="3" fontId="149" fillId="54" borderId="31" xfId="1659" applyNumberFormat="1" applyFont="1" applyFill="1" applyBorder="1" applyAlignment="1">
      <alignment horizontal="center" vertical="center" wrapText="1"/>
      <protection/>
    </xf>
    <xf numFmtId="3" fontId="149" fillId="54" borderId="10" xfId="1659" applyNumberFormat="1" applyFont="1" applyFill="1" applyBorder="1" applyAlignment="1">
      <alignment horizontal="center" vertical="center" wrapText="1"/>
      <protection/>
    </xf>
    <xf numFmtId="3" fontId="149" fillId="54" borderId="8" xfId="1659" applyNumberFormat="1" applyFont="1" applyFill="1" applyBorder="1" applyAlignment="1">
      <alignment horizontal="center" vertical="center" wrapText="1"/>
      <protection/>
    </xf>
    <xf numFmtId="3" fontId="149" fillId="54" borderId="28" xfId="1659" applyNumberFormat="1" applyFont="1" applyFill="1" applyBorder="1" applyAlignment="1">
      <alignment horizontal="center" vertical="center" wrapText="1"/>
      <protection/>
    </xf>
    <xf numFmtId="3" fontId="149" fillId="54" borderId="13" xfId="1659" applyNumberFormat="1" applyFont="1" applyFill="1" applyBorder="1" applyAlignment="1">
      <alignment horizontal="center" vertical="center" wrapText="1"/>
      <protection/>
    </xf>
    <xf numFmtId="3" fontId="149" fillId="54" borderId="43" xfId="1659" applyNumberFormat="1" applyFont="1" applyFill="1" applyBorder="1" applyAlignment="1">
      <alignment horizontal="center" vertical="center" wrapText="1"/>
      <protection/>
    </xf>
    <xf numFmtId="1" fontId="161" fillId="54" borderId="0" xfId="1659" applyNumberFormat="1" applyFont="1" applyFill="1" applyAlignment="1">
      <alignment horizontal="right" vertical="center"/>
      <protection/>
    </xf>
    <xf numFmtId="1" fontId="158" fillId="54" borderId="0" xfId="1659" applyNumberFormat="1" applyFont="1" applyFill="1" applyAlignment="1">
      <alignment horizontal="center" vertical="center" wrapText="1"/>
      <protection/>
    </xf>
    <xf numFmtId="1" fontId="169" fillId="54" borderId="0" xfId="1659" applyNumberFormat="1" applyFont="1" applyFill="1" applyAlignment="1">
      <alignment horizontal="center" vertical="center" wrapText="1"/>
      <protection/>
    </xf>
    <xf numFmtId="1" fontId="157" fillId="54" borderId="0" xfId="1659" applyNumberFormat="1" applyFont="1" applyFill="1" applyAlignment="1">
      <alignment horizontal="center" vertical="center" wrapText="1"/>
      <protection/>
    </xf>
    <xf numFmtId="1" fontId="153" fillId="54" borderId="5" xfId="1659" applyNumberFormat="1" applyFont="1" applyFill="1" applyBorder="1" applyAlignment="1">
      <alignment horizontal="right" vertical="center"/>
      <protection/>
    </xf>
    <xf numFmtId="3" fontId="149" fillId="54" borderId="46" xfId="1659" applyNumberFormat="1" applyFont="1" applyFill="1" applyBorder="1" applyAlignment="1">
      <alignment horizontal="center" vertical="center" wrapText="1"/>
      <protection/>
    </xf>
    <xf numFmtId="3" fontId="149" fillId="54" borderId="39" xfId="1659" applyNumberFormat="1" applyFont="1" applyFill="1" applyBorder="1" applyAlignment="1">
      <alignment horizontal="center" vertical="center" wrapText="1"/>
      <protection/>
    </xf>
    <xf numFmtId="3" fontId="149" fillId="54" borderId="47" xfId="1659" applyNumberFormat="1" applyFont="1" applyFill="1" applyBorder="1" applyAlignment="1">
      <alignment horizontal="center" vertical="center" wrapText="1"/>
      <protection/>
    </xf>
    <xf numFmtId="1" fontId="1" fillId="54" borderId="0" xfId="1659" applyNumberFormat="1" applyFont="1" applyFill="1" applyAlignment="1">
      <alignment horizontal="center" vertical="center"/>
      <protection/>
    </xf>
    <xf numFmtId="1" fontId="156" fillId="54" borderId="28" xfId="1659" applyNumberFormat="1" applyFont="1" applyFill="1" applyBorder="1" applyAlignment="1">
      <alignment horizontal="center" vertical="center"/>
      <protection/>
    </xf>
    <xf numFmtId="1" fontId="156" fillId="54" borderId="13" xfId="1659" applyNumberFormat="1" applyFont="1" applyFill="1" applyBorder="1" applyAlignment="1">
      <alignment horizontal="center" vertical="center"/>
      <protection/>
    </xf>
    <xf numFmtId="1" fontId="156" fillId="54" borderId="43" xfId="1659" applyNumberFormat="1" applyFont="1" applyFill="1" applyBorder="1" applyAlignment="1">
      <alignment horizontal="center" vertical="center"/>
      <protection/>
    </xf>
    <xf numFmtId="3" fontId="149" fillId="54" borderId="48" xfId="1659" applyNumberFormat="1" applyFont="1" applyFill="1" applyBorder="1" applyAlignment="1">
      <alignment horizontal="center" vertical="center" wrapText="1"/>
      <protection/>
    </xf>
    <xf numFmtId="3" fontId="149" fillId="54" borderId="49" xfId="1659" applyNumberFormat="1" applyFont="1" applyFill="1" applyBorder="1" applyAlignment="1">
      <alignment horizontal="center" vertical="center" wrapText="1"/>
      <protection/>
    </xf>
    <xf numFmtId="3" fontId="149" fillId="54" borderId="5" xfId="1659" applyNumberFormat="1" applyFont="1" applyFill="1" applyBorder="1" applyAlignment="1">
      <alignment horizontal="center" vertical="center" wrapText="1"/>
      <protection/>
    </xf>
    <xf numFmtId="3" fontId="149" fillId="54" borderId="50" xfId="1659" applyNumberFormat="1" applyFont="1" applyFill="1" applyBorder="1" applyAlignment="1">
      <alignment horizontal="center" vertical="center" wrapText="1"/>
      <protection/>
    </xf>
    <xf numFmtId="3" fontId="1" fillId="0" borderId="39" xfId="1659" applyNumberFormat="1" applyFont="1" applyFill="1" applyBorder="1" applyAlignment="1">
      <alignment horizontal="center" vertical="center" wrapText="1"/>
      <protection/>
    </xf>
    <xf numFmtId="3" fontId="1" fillId="0" borderId="0" xfId="1659" applyNumberFormat="1" applyFont="1" applyFill="1" applyBorder="1" applyAlignment="1">
      <alignment horizontal="center" vertical="center" wrapText="1"/>
      <protection/>
    </xf>
    <xf numFmtId="3" fontId="1" fillId="0" borderId="40" xfId="1659" applyNumberFormat="1" applyFont="1" applyFill="1" applyBorder="1" applyAlignment="1">
      <alignment horizontal="center" vertical="center" wrapText="1"/>
      <protection/>
    </xf>
  </cellXfs>
  <cellStyles count="2577">
    <cellStyle name="Normal" xfId="0"/>
    <cellStyle name="_x0001_" xfId="15"/>
    <cellStyle name="          &#13;&#10;shell=progman.exe&#13;&#10;m" xfId="16"/>
    <cellStyle name="&#13;&#10;JournalTemplate=C:\COMFO\CTALK\JOURSTD.TPL&#13;&#10;LbStateAddress=3 3 0 251 1 89 2 311&#13;&#10;LbStateJou" xfId="17"/>
    <cellStyle name="&#13;&#10;JournalTemplate=C:\COMFO\CTALK\JOURSTD.TPL&#13;&#10;LbStateAddress=3 3 0 251 1 89 2 311&#13;&#10;LbStateJou 2" xfId="18"/>
    <cellStyle name="&#13;&#10;JournalTemplate=C:\COMFO\CTALK\JOURSTD.TPL&#13;&#10;LbStateAddress=3 3 0 251 1 89 2 311&#13;&#10;LbStateJou 3" xfId="19"/>
    <cellStyle name="&#13;&#10;JournalTemplate=C:\COMFO\CTALK\JOURSTD.TPL&#13;&#10;LbStateAddress=3 3 0 251 1 89 2 311&#13;&#10;LbStateJou 3 2" xfId="20"/>
    <cellStyle name="&#13;&#10;JournalTemplate=C:\COMFO\CTALK\JOURSTD.TPL&#13;&#10;LbStateAddress=3 3 0 251 1 89 2 311&#13;&#10;LbStateJou 4" xfId="21"/>
    <cellStyle name="&#13;&#10;JournalTemplate=C:\COMFO\CTALK\JOURSTD.TPL&#13;&#10;LbStateAddress=3 3 0 251 1 89 2 311&#13;&#10;LbStateJou 5" xfId="22"/>
    <cellStyle name="#,##0" xfId="23"/>
    <cellStyle name="#,##0 2" xfId="24"/>
    <cellStyle name="." xfId="25"/>
    <cellStyle name=".d©y" xfId="26"/>
    <cellStyle name="??" xfId="27"/>
    <cellStyle name="?? [0.00]_ Att. 1- Cover" xfId="28"/>
    <cellStyle name="?? [0]" xfId="29"/>
    <cellStyle name="?_x001D_??%U©÷u&amp;H©÷9_x0008_? s&#10;_x0007__x0001__x0001_" xfId="30"/>
    <cellStyle name="???? [0.00]_      " xfId="31"/>
    <cellStyle name="??????" xfId="32"/>
    <cellStyle name="????_      " xfId="33"/>
    <cellStyle name="???[0]_?? DI" xfId="34"/>
    <cellStyle name="???_?? DI" xfId="35"/>
    <cellStyle name="??[0]_BRE" xfId="36"/>
    <cellStyle name="??_      " xfId="37"/>
    <cellStyle name="??A? [0]_laroux_1_¢¬???¢â? " xfId="38"/>
    <cellStyle name="??A?_laroux_1_¢¬???¢â? " xfId="39"/>
    <cellStyle name="?¡±¢¥?_?¨ù??¢´¢¥_¢¬???¢â? " xfId="40"/>
    <cellStyle name="?ðÇ%U?&amp;H?_x0008_?s&#10;_x0007__x0001__x0001_" xfId="41"/>
    <cellStyle name="[0]_Chi phÝ kh¸c_V" xfId="42"/>
    <cellStyle name="_!1 1 bao cao giao KH ve HTCMT vung TNB   12-12-2011" xfId="43"/>
    <cellStyle name="_x0001__!1 1 bao cao giao KH ve HTCMT vung TNB   12-12-2011" xfId="44"/>
    <cellStyle name="_1 TONG HOP - CA NA" xfId="45"/>
    <cellStyle name="_123_DONG_THANH_Moi" xfId="46"/>
    <cellStyle name="_123_DONG_THANH_Moi_!1 1 bao cao giao KH ve HTCMT vung TNB   12-12-2011" xfId="47"/>
    <cellStyle name="_123_DONG_THANH_Moi_KH TPCP vung TNB (03-1-2012)" xfId="48"/>
    <cellStyle name="_73118_79029" xfId="49"/>
    <cellStyle name="_Bang Chi tieu (2)" xfId="50"/>
    <cellStyle name="_BAO GIA NGAY 24-10-08 (co dam)" xfId="51"/>
    <cellStyle name="_BC  NAM 2007" xfId="52"/>
    <cellStyle name="_BC CV 6403 BKHĐT" xfId="53"/>
    <cellStyle name="_BEN TRE" xfId="54"/>
    <cellStyle name="_Bieu mau cong trinh khoi cong moi 3-4" xfId="55"/>
    <cellStyle name="_Bieu Tay Nam Bo 25-11" xfId="56"/>
    <cellStyle name="_Bieu3ODA" xfId="57"/>
    <cellStyle name="_Bieu3ODA_1" xfId="58"/>
    <cellStyle name="_Bieu4HTMT" xfId="59"/>
    <cellStyle name="_Bieu4HTMT_!1 1 bao cao giao KH ve HTCMT vung TNB   12-12-2011" xfId="60"/>
    <cellStyle name="_Bieu4HTMT_KH TPCP vung TNB (03-1-2012)" xfId="61"/>
    <cellStyle name="_Book1" xfId="62"/>
    <cellStyle name="_Book1_!1 1 bao cao giao KH ve HTCMT vung TNB   12-12-2011" xfId="63"/>
    <cellStyle name="_Book1_1" xfId="64"/>
    <cellStyle name="_Book1_Bieu3ODA" xfId="65"/>
    <cellStyle name="_Book1_Bieu4HTMT" xfId="66"/>
    <cellStyle name="_Book1_Bieu4HTMT_!1 1 bao cao giao KH ve HTCMT vung TNB   12-12-2011" xfId="67"/>
    <cellStyle name="_Book1_Bieu4HTMT_KH TPCP vung TNB (03-1-2012)" xfId="68"/>
    <cellStyle name="_Book1_bo sung von KCH nam 2010 va Du an tre kho khan" xfId="69"/>
    <cellStyle name="_Book1_bo sung von KCH nam 2010 va Du an tre kho khan_!1 1 bao cao giao KH ve HTCMT vung TNB   12-12-2011" xfId="70"/>
    <cellStyle name="_Book1_bo sung von KCH nam 2010 va Du an tre kho khan_KH TPCP vung TNB (03-1-2012)" xfId="71"/>
    <cellStyle name="_Book1_cong hang rao" xfId="72"/>
    <cellStyle name="_Book1_cong hang rao_!1 1 bao cao giao KH ve HTCMT vung TNB   12-12-2011" xfId="73"/>
    <cellStyle name="_Book1_cong hang rao_KH TPCP vung TNB (03-1-2012)" xfId="74"/>
    <cellStyle name="_Book1_danh muc chuan bi dau tu 2011 ngay 07-6-2011" xfId="75"/>
    <cellStyle name="_Book1_danh muc chuan bi dau tu 2011 ngay 07-6-2011_!1 1 bao cao giao KH ve HTCMT vung TNB   12-12-2011" xfId="76"/>
    <cellStyle name="_Book1_danh muc chuan bi dau tu 2011 ngay 07-6-2011_KH TPCP vung TNB (03-1-2012)" xfId="77"/>
    <cellStyle name="_Book1_Danh muc pbo nguon von XSKT, XDCB nam 2009 chuyen qua nam 2010" xfId="78"/>
    <cellStyle name="_Book1_Danh muc pbo nguon von XSKT, XDCB nam 2009 chuyen qua nam 2010_!1 1 bao cao giao KH ve HTCMT vung TNB   12-12-2011" xfId="79"/>
    <cellStyle name="_Book1_Danh muc pbo nguon von XSKT, XDCB nam 2009 chuyen qua nam 2010_KH TPCP vung TNB (03-1-2012)" xfId="80"/>
    <cellStyle name="_Book1_dieu chinh KH 2011 ngay 26-5-2011111" xfId="81"/>
    <cellStyle name="_Book1_dieu chinh KH 2011 ngay 26-5-2011111_!1 1 bao cao giao KH ve HTCMT vung TNB   12-12-2011" xfId="82"/>
    <cellStyle name="_Book1_dieu chinh KH 2011 ngay 26-5-2011111_KH TPCP vung TNB (03-1-2012)" xfId="83"/>
    <cellStyle name="_Book1_DS KCH PHAN BO VON NSDP NAM 2010" xfId="84"/>
    <cellStyle name="_Book1_DS KCH PHAN BO VON NSDP NAM 2010_!1 1 bao cao giao KH ve HTCMT vung TNB   12-12-2011" xfId="85"/>
    <cellStyle name="_Book1_DS KCH PHAN BO VON NSDP NAM 2010_KH TPCP vung TNB (03-1-2012)" xfId="86"/>
    <cellStyle name="_Book1_giao KH 2011 ngay 10-12-2010" xfId="87"/>
    <cellStyle name="_Book1_giao KH 2011 ngay 10-12-2010_!1 1 bao cao giao KH ve HTCMT vung TNB   12-12-2011" xfId="88"/>
    <cellStyle name="_Book1_giao KH 2011 ngay 10-12-2010_KH TPCP vung TNB (03-1-2012)" xfId="89"/>
    <cellStyle name="_Book1_IN" xfId="90"/>
    <cellStyle name="_Book1_Kh ql62 (2010) 11-09" xfId="91"/>
    <cellStyle name="_Book1_KH TPCP vung TNB (03-1-2012)" xfId="92"/>
    <cellStyle name="_Book1_Khung 2012" xfId="93"/>
    <cellStyle name="_Book1_kien giang 2" xfId="94"/>
    <cellStyle name="_Book1_phu luc tong ket tinh hinh TH giai doan 03-10 (ngay 30)" xfId="95"/>
    <cellStyle name="_Book1_phu luc tong ket tinh hinh TH giai doan 03-10 (ngay 30)_!1 1 bao cao giao KH ve HTCMT vung TNB   12-12-2011" xfId="96"/>
    <cellStyle name="_Book1_phu luc tong ket tinh hinh TH giai doan 03-10 (ngay 30)_KH TPCP vung TNB (03-1-2012)" xfId="97"/>
    <cellStyle name="_C.cong+B.luong-Sanluong" xfId="98"/>
    <cellStyle name="_cong hang rao" xfId="99"/>
    <cellStyle name="_dien chieu sang" xfId="100"/>
    <cellStyle name="_DO-D1500-KHONG CO TRONG DT" xfId="101"/>
    <cellStyle name="_Dong Thap" xfId="102"/>
    <cellStyle name="_Duyet TK thay đôi" xfId="103"/>
    <cellStyle name="_Duyet TK thay đôi_!1 1 bao cao giao KH ve HTCMT vung TNB   12-12-2011" xfId="104"/>
    <cellStyle name="_Duyet TK thay đôi_Bieu4HTMT" xfId="105"/>
    <cellStyle name="_Duyet TK thay đôi_Bieu4HTMT_!1 1 bao cao giao KH ve HTCMT vung TNB   12-12-2011" xfId="106"/>
    <cellStyle name="_Duyet TK thay đôi_Bieu4HTMT_KH TPCP vung TNB (03-1-2012)" xfId="107"/>
    <cellStyle name="_Duyet TK thay đôi_KH TPCP vung TNB (03-1-2012)" xfId="108"/>
    <cellStyle name="_GOITHAUSO2" xfId="109"/>
    <cellStyle name="_GOITHAUSO3" xfId="110"/>
    <cellStyle name="_GOITHAUSO4" xfId="111"/>
    <cellStyle name="_GTGT 2003" xfId="112"/>
    <cellStyle name="_HaHoa_TDT_DienCSang" xfId="113"/>
    <cellStyle name="_HaHoa19-5-07" xfId="114"/>
    <cellStyle name="_IN" xfId="115"/>
    <cellStyle name="_IN_!1 1 bao cao giao KH ve HTCMT vung TNB   12-12-2011" xfId="116"/>
    <cellStyle name="_IN_KH TPCP vung TNB (03-1-2012)" xfId="117"/>
    <cellStyle name="_KE KHAI THUE GTGT 2004" xfId="118"/>
    <cellStyle name="_KE KHAI THUE GTGT 2004_BCTC2004" xfId="119"/>
    <cellStyle name="_KH 2012 (TPCP) Bac Lieu (25-12-2011)" xfId="120"/>
    <cellStyle name="_Kh ql62 (2010) 11-09" xfId="121"/>
    <cellStyle name="_KH TPCP vung TNB (03-1-2012)" xfId="122"/>
    <cellStyle name="_Khung 2012" xfId="123"/>
    <cellStyle name="_x0001__kien giang 2" xfId="124"/>
    <cellStyle name="_KT (2)" xfId="125"/>
    <cellStyle name="_KT (2)_1" xfId="126"/>
    <cellStyle name="_KT (2)_1_Lora-tungchau" xfId="127"/>
    <cellStyle name="_KT (2)_1_Qt-HT3PQ1(CauKho)" xfId="128"/>
    <cellStyle name="_KT (2)_2" xfId="129"/>
    <cellStyle name="_KT (2)_2_TG-TH" xfId="130"/>
    <cellStyle name="_KT (2)_2_TG-TH_ApGiaVatTu_cayxanh_latgach" xfId="131"/>
    <cellStyle name="_KT (2)_2_TG-TH_BANG TONG HOP TINH HINH THANH QUYET TOAN (MOI I)" xfId="132"/>
    <cellStyle name="_KT (2)_2_TG-TH_BAO GIA NGAY 24-10-08 (co dam)" xfId="133"/>
    <cellStyle name="_KT (2)_2_TG-TH_BC  NAM 2007" xfId="134"/>
    <cellStyle name="_KT (2)_2_TG-TH_BC CV 6403 BKHĐT" xfId="135"/>
    <cellStyle name="_KT (2)_2_TG-TH_BC NQ11-CP - chinh sua lai" xfId="136"/>
    <cellStyle name="_KT (2)_2_TG-TH_BC NQ11-CP-Quynh sau bieu so3" xfId="137"/>
    <cellStyle name="_KT (2)_2_TG-TH_BC_NQ11-CP_-_Thao_sua_lai" xfId="138"/>
    <cellStyle name="_KT (2)_2_TG-TH_Bieu mau cong trinh khoi cong moi 3-4" xfId="139"/>
    <cellStyle name="_KT (2)_2_TG-TH_Bieu3ODA" xfId="140"/>
    <cellStyle name="_KT (2)_2_TG-TH_Bieu3ODA_1" xfId="141"/>
    <cellStyle name="_KT (2)_2_TG-TH_Bieu4HTMT" xfId="142"/>
    <cellStyle name="_KT (2)_2_TG-TH_bo sung von KCH nam 2010 va Du an tre kho khan" xfId="143"/>
    <cellStyle name="_KT (2)_2_TG-TH_Book1" xfId="144"/>
    <cellStyle name="_KT (2)_2_TG-TH_Book1_1" xfId="145"/>
    <cellStyle name="_KT (2)_2_TG-TH_Book1_1_BC CV 6403 BKHĐT" xfId="146"/>
    <cellStyle name="_KT (2)_2_TG-TH_Book1_1_Bieu mau cong trinh khoi cong moi 3-4" xfId="147"/>
    <cellStyle name="_KT (2)_2_TG-TH_Book1_1_Bieu3ODA" xfId="148"/>
    <cellStyle name="_KT (2)_2_TG-TH_Book1_1_Bieu4HTMT" xfId="149"/>
    <cellStyle name="_KT (2)_2_TG-TH_Book1_1_Book1" xfId="150"/>
    <cellStyle name="_KT (2)_2_TG-TH_Book1_1_Luy ke von ung nam 2011 -Thoa gui ngay 12-8-2012" xfId="151"/>
    <cellStyle name="_KT (2)_2_TG-TH_Book1_2" xfId="152"/>
    <cellStyle name="_KT (2)_2_TG-TH_Book1_2_BC CV 6403 BKHĐT" xfId="153"/>
    <cellStyle name="_KT (2)_2_TG-TH_Book1_2_Bieu3ODA" xfId="154"/>
    <cellStyle name="_KT (2)_2_TG-TH_Book1_2_Luy ke von ung nam 2011 -Thoa gui ngay 12-8-2012" xfId="155"/>
    <cellStyle name="_KT (2)_2_TG-TH_Book1_3" xfId="156"/>
    <cellStyle name="_KT (2)_2_TG-TH_Book1_BC CV 6403 BKHĐT" xfId="157"/>
    <cellStyle name="_KT (2)_2_TG-TH_Book1_Bieu mau cong trinh khoi cong moi 3-4" xfId="158"/>
    <cellStyle name="_KT (2)_2_TG-TH_Book1_Bieu3ODA" xfId="159"/>
    <cellStyle name="_KT (2)_2_TG-TH_Book1_Bieu4HTMT" xfId="160"/>
    <cellStyle name="_KT (2)_2_TG-TH_Book1_bo sung von KCH nam 2010 va Du an tre kho khan" xfId="161"/>
    <cellStyle name="_KT (2)_2_TG-TH_Book1_danh muc chuan bi dau tu 2011 ngay 07-6-2011" xfId="162"/>
    <cellStyle name="_KT (2)_2_TG-TH_Book1_Danh muc pbo nguon von XSKT, XDCB nam 2009 chuyen qua nam 2010" xfId="163"/>
    <cellStyle name="_KT (2)_2_TG-TH_Book1_dieu chinh KH 2011 ngay 26-5-2011111" xfId="164"/>
    <cellStyle name="_KT (2)_2_TG-TH_Book1_DS KCH PHAN BO VON NSDP NAM 2010" xfId="165"/>
    <cellStyle name="_KT (2)_2_TG-TH_Book1_giao KH 2011 ngay 10-12-2010" xfId="166"/>
    <cellStyle name="_KT (2)_2_TG-TH_Book1_Luy ke von ung nam 2011 -Thoa gui ngay 12-8-2012" xfId="167"/>
    <cellStyle name="_KT (2)_2_TG-TH_CAU Khanh Nam(Thi Cong)" xfId="168"/>
    <cellStyle name="_KT (2)_2_TG-TH_ChiHuong_ApGia" xfId="169"/>
    <cellStyle name="_KT (2)_2_TG-TH_CoCauPhi (version 1)" xfId="170"/>
    <cellStyle name="_KT (2)_2_TG-TH_danh muc chuan bi dau tu 2011 ngay 07-6-2011" xfId="171"/>
    <cellStyle name="_KT (2)_2_TG-TH_Danh muc pbo nguon von XSKT, XDCB nam 2009 chuyen qua nam 2010" xfId="172"/>
    <cellStyle name="_KT (2)_2_TG-TH_DAU NOI PL-CL TAI PHU LAMHC" xfId="173"/>
    <cellStyle name="_KT (2)_2_TG-TH_dieu chinh KH 2011 ngay 26-5-2011111" xfId="174"/>
    <cellStyle name="_KT (2)_2_TG-TH_DS KCH PHAN BO VON NSDP NAM 2010" xfId="175"/>
    <cellStyle name="_KT (2)_2_TG-TH_DU TRU VAT TU" xfId="176"/>
    <cellStyle name="_KT (2)_2_TG-TH_giao KH 2011 ngay 10-12-2010" xfId="177"/>
    <cellStyle name="_KT (2)_2_TG-TH_GTGT 2003" xfId="178"/>
    <cellStyle name="_KT (2)_2_TG-TH_KE KHAI THUE GTGT 2004" xfId="179"/>
    <cellStyle name="_KT (2)_2_TG-TH_KE KHAI THUE GTGT 2004_BCTC2004" xfId="180"/>
    <cellStyle name="_KT (2)_2_TG-TH_KH TPCP vung TNB (03-1-2012)" xfId="181"/>
    <cellStyle name="_KT (2)_2_TG-TH_kien giang 2" xfId="182"/>
    <cellStyle name="_KT (2)_2_TG-TH_Lora-tungchau" xfId="183"/>
    <cellStyle name="_KT (2)_2_TG-TH_Luy ke von ung nam 2011 -Thoa gui ngay 12-8-2012" xfId="184"/>
    <cellStyle name="_KT (2)_2_TG-TH_NhanCong" xfId="185"/>
    <cellStyle name="_KT (2)_2_TG-TH_N-X-T-04" xfId="186"/>
    <cellStyle name="_KT (2)_2_TG-TH_phu luc tong ket tinh hinh TH giai doan 03-10 (ngay 30)" xfId="187"/>
    <cellStyle name="_KT (2)_2_TG-TH_Qt-HT3PQ1(CauKho)" xfId="188"/>
    <cellStyle name="_KT (2)_2_TG-TH_Sheet1" xfId="189"/>
    <cellStyle name="_KT (2)_2_TG-TH_TK152-04" xfId="190"/>
    <cellStyle name="_KT (2)_2_TG-TH_ÿÿÿÿÿ" xfId="191"/>
    <cellStyle name="_KT (2)_2_TG-TH_ÿÿÿÿÿ_Bieu mau cong trinh khoi cong moi 3-4" xfId="192"/>
    <cellStyle name="_KT (2)_2_TG-TH_ÿÿÿÿÿ_Bieu3ODA" xfId="193"/>
    <cellStyle name="_KT (2)_2_TG-TH_ÿÿÿÿÿ_Bieu4HTMT" xfId="194"/>
    <cellStyle name="_KT (2)_2_TG-TH_ÿÿÿÿÿ_KH TPCP vung TNB (03-1-2012)" xfId="195"/>
    <cellStyle name="_KT (2)_2_TG-TH_ÿÿÿÿÿ_kien giang 2" xfId="196"/>
    <cellStyle name="_KT (2)_3" xfId="197"/>
    <cellStyle name="_KT (2)_3_TG-TH" xfId="198"/>
    <cellStyle name="_KT (2)_3_TG-TH_BC  NAM 2007" xfId="199"/>
    <cellStyle name="_KT (2)_3_TG-TH_Bieu mau cong trinh khoi cong moi 3-4" xfId="200"/>
    <cellStyle name="_KT (2)_3_TG-TH_Bieu3ODA" xfId="201"/>
    <cellStyle name="_KT (2)_3_TG-TH_Bieu3ODA_1" xfId="202"/>
    <cellStyle name="_KT (2)_3_TG-TH_Bieu4HTMT" xfId="203"/>
    <cellStyle name="_KT (2)_3_TG-TH_bo sung von KCH nam 2010 va Du an tre kho khan" xfId="204"/>
    <cellStyle name="_KT (2)_3_TG-TH_Book1" xfId="205"/>
    <cellStyle name="_KT (2)_3_TG-TH_Book1_KH TPCP vung TNB (03-1-2012)" xfId="206"/>
    <cellStyle name="_KT (2)_3_TG-TH_Book1_kien giang 2" xfId="207"/>
    <cellStyle name="_KT (2)_3_TG-TH_danh muc chuan bi dau tu 2011 ngay 07-6-2011" xfId="208"/>
    <cellStyle name="_KT (2)_3_TG-TH_Danh muc pbo nguon von XSKT, XDCB nam 2009 chuyen qua nam 2010" xfId="209"/>
    <cellStyle name="_KT (2)_3_TG-TH_dieu chinh KH 2011 ngay 26-5-2011111" xfId="210"/>
    <cellStyle name="_KT (2)_3_TG-TH_DS KCH PHAN BO VON NSDP NAM 2010" xfId="211"/>
    <cellStyle name="_KT (2)_3_TG-TH_giao KH 2011 ngay 10-12-2010" xfId="212"/>
    <cellStyle name="_KT (2)_3_TG-TH_GTGT 2003" xfId="213"/>
    <cellStyle name="_KT (2)_3_TG-TH_KE KHAI THUE GTGT 2004" xfId="214"/>
    <cellStyle name="_KT (2)_3_TG-TH_KE KHAI THUE GTGT 2004_BCTC2004" xfId="215"/>
    <cellStyle name="_KT (2)_3_TG-TH_KH TPCP vung TNB (03-1-2012)" xfId="216"/>
    <cellStyle name="_KT (2)_3_TG-TH_kien giang 2" xfId="217"/>
    <cellStyle name="_KT (2)_3_TG-TH_Lora-tungchau" xfId="218"/>
    <cellStyle name="_KT (2)_3_TG-TH_N-X-T-04" xfId="219"/>
    <cellStyle name="_KT (2)_3_TG-TH_PERSONAL" xfId="220"/>
    <cellStyle name="_KT (2)_3_TG-TH_PERSONAL_BC CV 6403 BKHĐT" xfId="221"/>
    <cellStyle name="_KT (2)_3_TG-TH_PERSONAL_Bieu mau cong trinh khoi cong moi 3-4" xfId="222"/>
    <cellStyle name="_KT (2)_3_TG-TH_PERSONAL_Bieu3ODA" xfId="223"/>
    <cellStyle name="_KT (2)_3_TG-TH_PERSONAL_Bieu4HTMT" xfId="224"/>
    <cellStyle name="_KT (2)_3_TG-TH_PERSONAL_Book1" xfId="225"/>
    <cellStyle name="_KT (2)_3_TG-TH_PERSONAL_Luy ke von ung nam 2011 -Thoa gui ngay 12-8-2012" xfId="226"/>
    <cellStyle name="_KT (2)_3_TG-TH_PERSONAL_Tong hop KHCB 2001" xfId="227"/>
    <cellStyle name="_KT (2)_3_TG-TH_Qt-HT3PQ1(CauKho)" xfId="228"/>
    <cellStyle name="_KT (2)_3_TG-TH_TK152-04" xfId="229"/>
    <cellStyle name="_KT (2)_3_TG-TH_ÿÿÿÿÿ" xfId="230"/>
    <cellStyle name="_KT (2)_3_TG-TH_ÿÿÿÿÿ_KH TPCP vung TNB (03-1-2012)" xfId="231"/>
    <cellStyle name="_KT (2)_3_TG-TH_ÿÿÿÿÿ_kien giang 2" xfId="232"/>
    <cellStyle name="_KT (2)_4" xfId="233"/>
    <cellStyle name="_KT (2)_4_ApGiaVatTu_cayxanh_latgach" xfId="234"/>
    <cellStyle name="_KT (2)_4_BANG TONG HOP TINH HINH THANH QUYET TOAN (MOI I)" xfId="235"/>
    <cellStyle name="_KT (2)_4_BAO GIA NGAY 24-10-08 (co dam)" xfId="236"/>
    <cellStyle name="_KT (2)_4_BC  NAM 2007" xfId="237"/>
    <cellStyle name="_KT (2)_4_BC CV 6403 BKHĐT" xfId="238"/>
    <cellStyle name="_KT (2)_4_BC NQ11-CP - chinh sua lai" xfId="239"/>
    <cellStyle name="_KT (2)_4_BC NQ11-CP-Quynh sau bieu so3" xfId="240"/>
    <cellStyle name="_KT (2)_4_BC_NQ11-CP_-_Thao_sua_lai" xfId="241"/>
    <cellStyle name="_KT (2)_4_Bieu mau cong trinh khoi cong moi 3-4" xfId="242"/>
    <cellStyle name="_KT (2)_4_Bieu3ODA" xfId="243"/>
    <cellStyle name="_KT (2)_4_Bieu3ODA_1" xfId="244"/>
    <cellStyle name="_KT (2)_4_Bieu4HTMT" xfId="245"/>
    <cellStyle name="_KT (2)_4_bo sung von KCH nam 2010 va Du an tre kho khan" xfId="246"/>
    <cellStyle name="_KT (2)_4_Book1" xfId="247"/>
    <cellStyle name="_KT (2)_4_Book1_1" xfId="248"/>
    <cellStyle name="_KT (2)_4_Book1_1_BC CV 6403 BKHĐT" xfId="249"/>
    <cellStyle name="_KT (2)_4_Book1_1_Bieu mau cong trinh khoi cong moi 3-4" xfId="250"/>
    <cellStyle name="_KT (2)_4_Book1_1_Bieu3ODA" xfId="251"/>
    <cellStyle name="_KT (2)_4_Book1_1_Bieu4HTMT" xfId="252"/>
    <cellStyle name="_KT (2)_4_Book1_1_Book1" xfId="253"/>
    <cellStyle name="_KT (2)_4_Book1_1_Luy ke von ung nam 2011 -Thoa gui ngay 12-8-2012" xfId="254"/>
    <cellStyle name="_KT (2)_4_Book1_2" xfId="255"/>
    <cellStyle name="_KT (2)_4_Book1_2_BC CV 6403 BKHĐT" xfId="256"/>
    <cellStyle name="_KT (2)_4_Book1_2_Bieu3ODA" xfId="257"/>
    <cellStyle name="_KT (2)_4_Book1_2_Luy ke von ung nam 2011 -Thoa gui ngay 12-8-2012" xfId="258"/>
    <cellStyle name="_KT (2)_4_Book1_3" xfId="259"/>
    <cellStyle name="_KT (2)_4_Book1_BC CV 6403 BKHĐT" xfId="260"/>
    <cellStyle name="_KT (2)_4_Book1_Bieu mau cong trinh khoi cong moi 3-4" xfId="261"/>
    <cellStyle name="_KT (2)_4_Book1_Bieu3ODA" xfId="262"/>
    <cellStyle name="_KT (2)_4_Book1_Bieu4HTMT" xfId="263"/>
    <cellStyle name="_KT (2)_4_Book1_bo sung von KCH nam 2010 va Du an tre kho khan" xfId="264"/>
    <cellStyle name="_KT (2)_4_Book1_danh muc chuan bi dau tu 2011 ngay 07-6-2011" xfId="265"/>
    <cellStyle name="_KT (2)_4_Book1_Danh muc pbo nguon von XSKT, XDCB nam 2009 chuyen qua nam 2010" xfId="266"/>
    <cellStyle name="_KT (2)_4_Book1_dieu chinh KH 2011 ngay 26-5-2011111" xfId="267"/>
    <cellStyle name="_KT (2)_4_Book1_DS KCH PHAN BO VON NSDP NAM 2010" xfId="268"/>
    <cellStyle name="_KT (2)_4_Book1_giao KH 2011 ngay 10-12-2010" xfId="269"/>
    <cellStyle name="_KT (2)_4_Book1_Luy ke von ung nam 2011 -Thoa gui ngay 12-8-2012" xfId="270"/>
    <cellStyle name="_KT (2)_4_CAU Khanh Nam(Thi Cong)" xfId="271"/>
    <cellStyle name="_KT (2)_4_ChiHuong_ApGia" xfId="272"/>
    <cellStyle name="_KT (2)_4_CoCauPhi (version 1)" xfId="273"/>
    <cellStyle name="_KT (2)_4_danh muc chuan bi dau tu 2011 ngay 07-6-2011" xfId="274"/>
    <cellStyle name="_KT (2)_4_Danh muc pbo nguon von XSKT, XDCB nam 2009 chuyen qua nam 2010" xfId="275"/>
    <cellStyle name="_KT (2)_4_DAU NOI PL-CL TAI PHU LAMHC" xfId="276"/>
    <cellStyle name="_KT (2)_4_dieu chinh KH 2011 ngay 26-5-2011111" xfId="277"/>
    <cellStyle name="_KT (2)_4_DS KCH PHAN BO VON NSDP NAM 2010" xfId="278"/>
    <cellStyle name="_KT (2)_4_DU TRU VAT TU" xfId="279"/>
    <cellStyle name="_KT (2)_4_giao KH 2011 ngay 10-12-2010" xfId="280"/>
    <cellStyle name="_KT (2)_4_GTGT 2003" xfId="281"/>
    <cellStyle name="_KT (2)_4_KE KHAI THUE GTGT 2004" xfId="282"/>
    <cellStyle name="_KT (2)_4_KE KHAI THUE GTGT 2004_BCTC2004" xfId="283"/>
    <cellStyle name="_KT (2)_4_KH TPCP vung TNB (03-1-2012)" xfId="284"/>
    <cellStyle name="_KT (2)_4_kien giang 2" xfId="285"/>
    <cellStyle name="_KT (2)_4_Lora-tungchau" xfId="286"/>
    <cellStyle name="_KT (2)_4_Luy ke von ung nam 2011 -Thoa gui ngay 12-8-2012" xfId="287"/>
    <cellStyle name="_KT (2)_4_NhanCong" xfId="288"/>
    <cellStyle name="_KT (2)_4_N-X-T-04" xfId="289"/>
    <cellStyle name="_KT (2)_4_phu luc tong ket tinh hinh TH giai doan 03-10 (ngay 30)" xfId="290"/>
    <cellStyle name="_KT (2)_4_Qt-HT3PQ1(CauKho)" xfId="291"/>
    <cellStyle name="_KT (2)_4_Sheet1" xfId="292"/>
    <cellStyle name="_KT (2)_4_TG-TH" xfId="293"/>
    <cellStyle name="_KT (2)_4_TK152-04" xfId="294"/>
    <cellStyle name="_KT (2)_4_ÿÿÿÿÿ" xfId="295"/>
    <cellStyle name="_KT (2)_4_ÿÿÿÿÿ_Bieu mau cong trinh khoi cong moi 3-4" xfId="296"/>
    <cellStyle name="_KT (2)_4_ÿÿÿÿÿ_Bieu3ODA" xfId="297"/>
    <cellStyle name="_KT (2)_4_ÿÿÿÿÿ_Bieu4HTMT" xfId="298"/>
    <cellStyle name="_KT (2)_4_ÿÿÿÿÿ_KH TPCP vung TNB (03-1-2012)" xfId="299"/>
    <cellStyle name="_KT (2)_4_ÿÿÿÿÿ_kien giang 2" xfId="300"/>
    <cellStyle name="_KT (2)_5" xfId="301"/>
    <cellStyle name="_KT (2)_5_ApGiaVatTu_cayxanh_latgach" xfId="302"/>
    <cellStyle name="_KT (2)_5_BANG TONG HOP TINH HINH THANH QUYET TOAN (MOI I)" xfId="303"/>
    <cellStyle name="_KT (2)_5_BAO GIA NGAY 24-10-08 (co dam)" xfId="304"/>
    <cellStyle name="_KT (2)_5_BC  NAM 2007" xfId="305"/>
    <cellStyle name="_KT (2)_5_BC CV 6403 BKHĐT" xfId="306"/>
    <cellStyle name="_KT (2)_5_BC NQ11-CP - chinh sua lai" xfId="307"/>
    <cellStyle name="_KT (2)_5_BC NQ11-CP-Quynh sau bieu so3" xfId="308"/>
    <cellStyle name="_KT (2)_5_BC_NQ11-CP_-_Thao_sua_lai" xfId="309"/>
    <cellStyle name="_KT (2)_5_Bieu mau cong trinh khoi cong moi 3-4" xfId="310"/>
    <cellStyle name="_KT (2)_5_Bieu3ODA" xfId="311"/>
    <cellStyle name="_KT (2)_5_Bieu3ODA_1" xfId="312"/>
    <cellStyle name="_KT (2)_5_Bieu4HTMT" xfId="313"/>
    <cellStyle name="_KT (2)_5_bo sung von KCH nam 2010 va Du an tre kho khan" xfId="314"/>
    <cellStyle name="_KT (2)_5_Book1" xfId="315"/>
    <cellStyle name="_KT (2)_5_Book1_1" xfId="316"/>
    <cellStyle name="_KT (2)_5_Book1_1_BC CV 6403 BKHĐT" xfId="317"/>
    <cellStyle name="_KT (2)_5_Book1_1_Bieu mau cong trinh khoi cong moi 3-4" xfId="318"/>
    <cellStyle name="_KT (2)_5_Book1_1_Bieu3ODA" xfId="319"/>
    <cellStyle name="_KT (2)_5_Book1_1_Bieu4HTMT" xfId="320"/>
    <cellStyle name="_KT (2)_5_Book1_1_Book1" xfId="321"/>
    <cellStyle name="_KT (2)_5_Book1_1_Luy ke von ung nam 2011 -Thoa gui ngay 12-8-2012" xfId="322"/>
    <cellStyle name="_KT (2)_5_Book1_2" xfId="323"/>
    <cellStyle name="_KT (2)_5_Book1_2_BC CV 6403 BKHĐT" xfId="324"/>
    <cellStyle name="_KT (2)_5_Book1_2_Bieu3ODA" xfId="325"/>
    <cellStyle name="_KT (2)_5_Book1_2_Luy ke von ung nam 2011 -Thoa gui ngay 12-8-2012" xfId="326"/>
    <cellStyle name="_KT (2)_5_Book1_3" xfId="327"/>
    <cellStyle name="_KT (2)_5_Book1_BC CV 6403 BKHĐT" xfId="328"/>
    <cellStyle name="_KT (2)_5_Book1_Bieu mau cong trinh khoi cong moi 3-4" xfId="329"/>
    <cellStyle name="_KT (2)_5_Book1_Bieu3ODA" xfId="330"/>
    <cellStyle name="_KT (2)_5_Book1_Bieu4HTMT" xfId="331"/>
    <cellStyle name="_KT (2)_5_Book1_bo sung von KCH nam 2010 va Du an tre kho khan" xfId="332"/>
    <cellStyle name="_KT (2)_5_Book1_danh muc chuan bi dau tu 2011 ngay 07-6-2011" xfId="333"/>
    <cellStyle name="_KT (2)_5_Book1_Danh muc pbo nguon von XSKT, XDCB nam 2009 chuyen qua nam 2010" xfId="334"/>
    <cellStyle name="_KT (2)_5_Book1_dieu chinh KH 2011 ngay 26-5-2011111" xfId="335"/>
    <cellStyle name="_KT (2)_5_Book1_DS KCH PHAN BO VON NSDP NAM 2010" xfId="336"/>
    <cellStyle name="_KT (2)_5_Book1_giao KH 2011 ngay 10-12-2010" xfId="337"/>
    <cellStyle name="_KT (2)_5_Book1_Luy ke von ung nam 2011 -Thoa gui ngay 12-8-2012" xfId="338"/>
    <cellStyle name="_KT (2)_5_CAU Khanh Nam(Thi Cong)" xfId="339"/>
    <cellStyle name="_KT (2)_5_ChiHuong_ApGia" xfId="340"/>
    <cellStyle name="_KT (2)_5_CoCauPhi (version 1)" xfId="341"/>
    <cellStyle name="_KT (2)_5_danh muc chuan bi dau tu 2011 ngay 07-6-2011" xfId="342"/>
    <cellStyle name="_KT (2)_5_Danh muc pbo nguon von XSKT, XDCB nam 2009 chuyen qua nam 2010" xfId="343"/>
    <cellStyle name="_KT (2)_5_DAU NOI PL-CL TAI PHU LAMHC" xfId="344"/>
    <cellStyle name="_KT (2)_5_dieu chinh KH 2011 ngay 26-5-2011111" xfId="345"/>
    <cellStyle name="_KT (2)_5_DS KCH PHAN BO VON NSDP NAM 2010" xfId="346"/>
    <cellStyle name="_KT (2)_5_DU TRU VAT TU" xfId="347"/>
    <cellStyle name="_KT (2)_5_giao KH 2011 ngay 10-12-2010" xfId="348"/>
    <cellStyle name="_KT (2)_5_GTGT 2003" xfId="349"/>
    <cellStyle name="_KT (2)_5_KE KHAI THUE GTGT 2004" xfId="350"/>
    <cellStyle name="_KT (2)_5_KE KHAI THUE GTGT 2004_BCTC2004" xfId="351"/>
    <cellStyle name="_KT (2)_5_KH TPCP vung TNB (03-1-2012)" xfId="352"/>
    <cellStyle name="_KT (2)_5_kien giang 2" xfId="353"/>
    <cellStyle name="_KT (2)_5_Lora-tungchau" xfId="354"/>
    <cellStyle name="_KT (2)_5_Luy ke von ung nam 2011 -Thoa gui ngay 12-8-2012" xfId="355"/>
    <cellStyle name="_KT (2)_5_NhanCong" xfId="356"/>
    <cellStyle name="_KT (2)_5_N-X-T-04" xfId="357"/>
    <cellStyle name="_KT (2)_5_phu luc tong ket tinh hinh TH giai doan 03-10 (ngay 30)" xfId="358"/>
    <cellStyle name="_KT (2)_5_Qt-HT3PQ1(CauKho)" xfId="359"/>
    <cellStyle name="_KT (2)_5_Sheet1" xfId="360"/>
    <cellStyle name="_KT (2)_5_TK152-04" xfId="361"/>
    <cellStyle name="_KT (2)_5_ÿÿÿÿÿ" xfId="362"/>
    <cellStyle name="_KT (2)_5_ÿÿÿÿÿ_Bieu mau cong trinh khoi cong moi 3-4" xfId="363"/>
    <cellStyle name="_KT (2)_5_ÿÿÿÿÿ_Bieu3ODA" xfId="364"/>
    <cellStyle name="_KT (2)_5_ÿÿÿÿÿ_Bieu4HTMT" xfId="365"/>
    <cellStyle name="_KT (2)_5_ÿÿÿÿÿ_KH TPCP vung TNB (03-1-2012)" xfId="366"/>
    <cellStyle name="_KT (2)_5_ÿÿÿÿÿ_kien giang 2" xfId="367"/>
    <cellStyle name="_KT (2)_BC  NAM 2007" xfId="368"/>
    <cellStyle name="_KT (2)_Bieu mau cong trinh khoi cong moi 3-4" xfId="369"/>
    <cellStyle name="_KT (2)_Bieu3ODA" xfId="370"/>
    <cellStyle name="_KT (2)_Bieu3ODA_1" xfId="371"/>
    <cellStyle name="_KT (2)_Bieu4HTMT" xfId="372"/>
    <cellStyle name="_KT (2)_bo sung von KCH nam 2010 va Du an tre kho khan" xfId="373"/>
    <cellStyle name="_KT (2)_Book1" xfId="374"/>
    <cellStyle name="_KT (2)_Book1_KH TPCP vung TNB (03-1-2012)" xfId="375"/>
    <cellStyle name="_KT (2)_Book1_kien giang 2" xfId="376"/>
    <cellStyle name="_KT (2)_danh muc chuan bi dau tu 2011 ngay 07-6-2011" xfId="377"/>
    <cellStyle name="_KT (2)_Danh muc pbo nguon von XSKT, XDCB nam 2009 chuyen qua nam 2010" xfId="378"/>
    <cellStyle name="_KT (2)_dieu chinh KH 2011 ngay 26-5-2011111" xfId="379"/>
    <cellStyle name="_KT (2)_DS KCH PHAN BO VON NSDP NAM 2010" xfId="380"/>
    <cellStyle name="_KT (2)_giao KH 2011 ngay 10-12-2010" xfId="381"/>
    <cellStyle name="_KT (2)_GTGT 2003" xfId="382"/>
    <cellStyle name="_KT (2)_KE KHAI THUE GTGT 2004" xfId="383"/>
    <cellStyle name="_KT (2)_KE KHAI THUE GTGT 2004_BCTC2004" xfId="384"/>
    <cellStyle name="_KT (2)_KH TPCP vung TNB (03-1-2012)" xfId="385"/>
    <cellStyle name="_KT (2)_kien giang 2" xfId="386"/>
    <cellStyle name="_KT (2)_Lora-tungchau" xfId="387"/>
    <cellStyle name="_KT (2)_N-X-T-04" xfId="388"/>
    <cellStyle name="_KT (2)_PERSONAL" xfId="389"/>
    <cellStyle name="_KT (2)_PERSONAL_BC CV 6403 BKHĐT" xfId="390"/>
    <cellStyle name="_KT (2)_PERSONAL_Bieu mau cong trinh khoi cong moi 3-4" xfId="391"/>
    <cellStyle name="_KT (2)_PERSONAL_Bieu3ODA" xfId="392"/>
    <cellStyle name="_KT (2)_PERSONAL_Bieu4HTMT" xfId="393"/>
    <cellStyle name="_KT (2)_PERSONAL_Book1" xfId="394"/>
    <cellStyle name="_KT (2)_PERSONAL_Luy ke von ung nam 2011 -Thoa gui ngay 12-8-2012" xfId="395"/>
    <cellStyle name="_KT (2)_PERSONAL_Tong hop KHCB 2001" xfId="396"/>
    <cellStyle name="_KT (2)_Qt-HT3PQ1(CauKho)" xfId="397"/>
    <cellStyle name="_KT (2)_TG-TH" xfId="398"/>
    <cellStyle name="_KT (2)_TK152-04" xfId="399"/>
    <cellStyle name="_KT (2)_ÿÿÿÿÿ" xfId="400"/>
    <cellStyle name="_KT (2)_ÿÿÿÿÿ_KH TPCP vung TNB (03-1-2012)" xfId="401"/>
    <cellStyle name="_KT (2)_ÿÿÿÿÿ_kien giang 2" xfId="402"/>
    <cellStyle name="_KT_TG" xfId="403"/>
    <cellStyle name="_KT_TG_1" xfId="404"/>
    <cellStyle name="_KT_TG_1_ApGiaVatTu_cayxanh_latgach" xfId="405"/>
    <cellStyle name="_KT_TG_1_BANG TONG HOP TINH HINH THANH QUYET TOAN (MOI I)" xfId="406"/>
    <cellStyle name="_KT_TG_1_BAO GIA NGAY 24-10-08 (co dam)" xfId="407"/>
    <cellStyle name="_KT_TG_1_BC  NAM 2007" xfId="408"/>
    <cellStyle name="_KT_TG_1_BC CV 6403 BKHĐT" xfId="409"/>
    <cellStyle name="_KT_TG_1_BC NQ11-CP - chinh sua lai" xfId="410"/>
    <cellStyle name="_KT_TG_1_BC NQ11-CP-Quynh sau bieu so3" xfId="411"/>
    <cellStyle name="_KT_TG_1_BC_NQ11-CP_-_Thao_sua_lai" xfId="412"/>
    <cellStyle name="_KT_TG_1_Bieu mau cong trinh khoi cong moi 3-4" xfId="413"/>
    <cellStyle name="_KT_TG_1_Bieu3ODA" xfId="414"/>
    <cellStyle name="_KT_TG_1_Bieu3ODA_1" xfId="415"/>
    <cellStyle name="_KT_TG_1_Bieu4HTMT" xfId="416"/>
    <cellStyle name="_KT_TG_1_bo sung von KCH nam 2010 va Du an tre kho khan" xfId="417"/>
    <cellStyle name="_KT_TG_1_Book1" xfId="418"/>
    <cellStyle name="_KT_TG_1_Book1_1" xfId="419"/>
    <cellStyle name="_KT_TG_1_Book1_1_BC CV 6403 BKHĐT" xfId="420"/>
    <cellStyle name="_KT_TG_1_Book1_1_Bieu mau cong trinh khoi cong moi 3-4" xfId="421"/>
    <cellStyle name="_KT_TG_1_Book1_1_Bieu3ODA" xfId="422"/>
    <cellStyle name="_KT_TG_1_Book1_1_Bieu4HTMT" xfId="423"/>
    <cellStyle name="_KT_TG_1_Book1_1_Book1" xfId="424"/>
    <cellStyle name="_KT_TG_1_Book1_1_Luy ke von ung nam 2011 -Thoa gui ngay 12-8-2012" xfId="425"/>
    <cellStyle name="_KT_TG_1_Book1_2" xfId="426"/>
    <cellStyle name="_KT_TG_1_Book1_2_BC CV 6403 BKHĐT" xfId="427"/>
    <cellStyle name="_KT_TG_1_Book1_2_Bieu3ODA" xfId="428"/>
    <cellStyle name="_KT_TG_1_Book1_2_Luy ke von ung nam 2011 -Thoa gui ngay 12-8-2012" xfId="429"/>
    <cellStyle name="_KT_TG_1_Book1_3" xfId="430"/>
    <cellStyle name="_KT_TG_1_Book1_BC CV 6403 BKHĐT" xfId="431"/>
    <cellStyle name="_KT_TG_1_Book1_Bieu mau cong trinh khoi cong moi 3-4" xfId="432"/>
    <cellStyle name="_KT_TG_1_Book1_Bieu3ODA" xfId="433"/>
    <cellStyle name="_KT_TG_1_Book1_Bieu4HTMT" xfId="434"/>
    <cellStyle name="_KT_TG_1_Book1_bo sung von KCH nam 2010 va Du an tre kho khan" xfId="435"/>
    <cellStyle name="_KT_TG_1_Book1_danh muc chuan bi dau tu 2011 ngay 07-6-2011" xfId="436"/>
    <cellStyle name="_KT_TG_1_Book1_Danh muc pbo nguon von XSKT, XDCB nam 2009 chuyen qua nam 2010" xfId="437"/>
    <cellStyle name="_KT_TG_1_Book1_dieu chinh KH 2011 ngay 26-5-2011111" xfId="438"/>
    <cellStyle name="_KT_TG_1_Book1_DS KCH PHAN BO VON NSDP NAM 2010" xfId="439"/>
    <cellStyle name="_KT_TG_1_Book1_giao KH 2011 ngay 10-12-2010" xfId="440"/>
    <cellStyle name="_KT_TG_1_Book1_Luy ke von ung nam 2011 -Thoa gui ngay 12-8-2012" xfId="441"/>
    <cellStyle name="_KT_TG_1_CAU Khanh Nam(Thi Cong)" xfId="442"/>
    <cellStyle name="_KT_TG_1_ChiHuong_ApGia" xfId="443"/>
    <cellStyle name="_KT_TG_1_CoCauPhi (version 1)" xfId="444"/>
    <cellStyle name="_KT_TG_1_danh muc chuan bi dau tu 2011 ngay 07-6-2011" xfId="445"/>
    <cellStyle name="_KT_TG_1_Danh muc pbo nguon von XSKT, XDCB nam 2009 chuyen qua nam 2010" xfId="446"/>
    <cellStyle name="_KT_TG_1_DAU NOI PL-CL TAI PHU LAMHC" xfId="447"/>
    <cellStyle name="_KT_TG_1_dieu chinh KH 2011 ngay 26-5-2011111" xfId="448"/>
    <cellStyle name="_KT_TG_1_DS KCH PHAN BO VON NSDP NAM 2010" xfId="449"/>
    <cellStyle name="_KT_TG_1_DU TRU VAT TU" xfId="450"/>
    <cellStyle name="_KT_TG_1_giao KH 2011 ngay 10-12-2010" xfId="451"/>
    <cellStyle name="_KT_TG_1_GTGT 2003" xfId="452"/>
    <cellStyle name="_KT_TG_1_KE KHAI THUE GTGT 2004" xfId="453"/>
    <cellStyle name="_KT_TG_1_KE KHAI THUE GTGT 2004_BCTC2004" xfId="454"/>
    <cellStyle name="_KT_TG_1_KH TPCP vung TNB (03-1-2012)" xfId="455"/>
    <cellStyle name="_KT_TG_1_kien giang 2" xfId="456"/>
    <cellStyle name="_KT_TG_1_Lora-tungchau" xfId="457"/>
    <cellStyle name="_KT_TG_1_Luy ke von ung nam 2011 -Thoa gui ngay 12-8-2012" xfId="458"/>
    <cellStyle name="_KT_TG_1_NhanCong" xfId="459"/>
    <cellStyle name="_KT_TG_1_N-X-T-04" xfId="460"/>
    <cellStyle name="_KT_TG_1_phu luc tong ket tinh hinh TH giai doan 03-10 (ngay 30)" xfId="461"/>
    <cellStyle name="_KT_TG_1_Qt-HT3PQ1(CauKho)" xfId="462"/>
    <cellStyle name="_KT_TG_1_Sheet1" xfId="463"/>
    <cellStyle name="_KT_TG_1_TK152-04" xfId="464"/>
    <cellStyle name="_KT_TG_1_ÿÿÿÿÿ" xfId="465"/>
    <cellStyle name="_KT_TG_1_ÿÿÿÿÿ_Bieu mau cong trinh khoi cong moi 3-4" xfId="466"/>
    <cellStyle name="_KT_TG_1_ÿÿÿÿÿ_Bieu3ODA" xfId="467"/>
    <cellStyle name="_KT_TG_1_ÿÿÿÿÿ_Bieu4HTMT" xfId="468"/>
    <cellStyle name="_KT_TG_1_ÿÿÿÿÿ_KH TPCP vung TNB (03-1-2012)" xfId="469"/>
    <cellStyle name="_KT_TG_1_ÿÿÿÿÿ_kien giang 2" xfId="470"/>
    <cellStyle name="_KT_TG_2" xfId="471"/>
    <cellStyle name="_KT_TG_2_ApGiaVatTu_cayxanh_latgach" xfId="472"/>
    <cellStyle name="_KT_TG_2_BANG TONG HOP TINH HINH THANH QUYET TOAN (MOI I)" xfId="473"/>
    <cellStyle name="_KT_TG_2_BAO GIA NGAY 24-10-08 (co dam)" xfId="474"/>
    <cellStyle name="_KT_TG_2_BC  NAM 2007" xfId="475"/>
    <cellStyle name="_KT_TG_2_BC CV 6403 BKHĐT" xfId="476"/>
    <cellStyle name="_KT_TG_2_BC NQ11-CP - chinh sua lai" xfId="477"/>
    <cellStyle name="_KT_TG_2_BC NQ11-CP-Quynh sau bieu so3" xfId="478"/>
    <cellStyle name="_KT_TG_2_BC_NQ11-CP_-_Thao_sua_lai" xfId="479"/>
    <cellStyle name="_KT_TG_2_Bieu mau cong trinh khoi cong moi 3-4" xfId="480"/>
    <cellStyle name="_KT_TG_2_Bieu3ODA" xfId="481"/>
    <cellStyle name="_KT_TG_2_Bieu3ODA_1" xfId="482"/>
    <cellStyle name="_KT_TG_2_Bieu4HTMT" xfId="483"/>
    <cellStyle name="_KT_TG_2_bo sung von KCH nam 2010 va Du an tre kho khan" xfId="484"/>
    <cellStyle name="_KT_TG_2_Book1" xfId="485"/>
    <cellStyle name="_KT_TG_2_Book1_1" xfId="486"/>
    <cellStyle name="_KT_TG_2_Book1_1_BC CV 6403 BKHĐT" xfId="487"/>
    <cellStyle name="_KT_TG_2_Book1_1_Bieu mau cong trinh khoi cong moi 3-4" xfId="488"/>
    <cellStyle name="_KT_TG_2_Book1_1_Bieu3ODA" xfId="489"/>
    <cellStyle name="_KT_TG_2_Book1_1_Bieu4HTMT" xfId="490"/>
    <cellStyle name="_KT_TG_2_Book1_1_Book1" xfId="491"/>
    <cellStyle name="_KT_TG_2_Book1_1_Luy ke von ung nam 2011 -Thoa gui ngay 12-8-2012" xfId="492"/>
    <cellStyle name="_KT_TG_2_Book1_2" xfId="493"/>
    <cellStyle name="_KT_TG_2_Book1_2_BC CV 6403 BKHĐT" xfId="494"/>
    <cellStyle name="_KT_TG_2_Book1_2_Bieu3ODA" xfId="495"/>
    <cellStyle name="_KT_TG_2_Book1_2_Luy ke von ung nam 2011 -Thoa gui ngay 12-8-2012" xfId="496"/>
    <cellStyle name="_KT_TG_2_Book1_3" xfId="497"/>
    <cellStyle name="_KT_TG_2_Book1_BC CV 6403 BKHĐT" xfId="498"/>
    <cellStyle name="_KT_TG_2_Book1_Bieu mau cong trinh khoi cong moi 3-4" xfId="499"/>
    <cellStyle name="_KT_TG_2_Book1_Bieu3ODA" xfId="500"/>
    <cellStyle name="_KT_TG_2_Book1_Bieu4HTMT" xfId="501"/>
    <cellStyle name="_KT_TG_2_Book1_bo sung von KCH nam 2010 va Du an tre kho khan" xfId="502"/>
    <cellStyle name="_KT_TG_2_Book1_danh muc chuan bi dau tu 2011 ngay 07-6-2011" xfId="503"/>
    <cellStyle name="_KT_TG_2_Book1_Danh muc pbo nguon von XSKT, XDCB nam 2009 chuyen qua nam 2010" xfId="504"/>
    <cellStyle name="_KT_TG_2_Book1_dieu chinh KH 2011 ngay 26-5-2011111" xfId="505"/>
    <cellStyle name="_KT_TG_2_Book1_DS KCH PHAN BO VON NSDP NAM 2010" xfId="506"/>
    <cellStyle name="_KT_TG_2_Book1_giao KH 2011 ngay 10-12-2010" xfId="507"/>
    <cellStyle name="_KT_TG_2_Book1_Luy ke von ung nam 2011 -Thoa gui ngay 12-8-2012" xfId="508"/>
    <cellStyle name="_KT_TG_2_CAU Khanh Nam(Thi Cong)" xfId="509"/>
    <cellStyle name="_KT_TG_2_ChiHuong_ApGia" xfId="510"/>
    <cellStyle name="_KT_TG_2_CoCauPhi (version 1)" xfId="511"/>
    <cellStyle name="_KT_TG_2_danh muc chuan bi dau tu 2011 ngay 07-6-2011" xfId="512"/>
    <cellStyle name="_KT_TG_2_Danh muc pbo nguon von XSKT, XDCB nam 2009 chuyen qua nam 2010" xfId="513"/>
    <cellStyle name="_KT_TG_2_DAU NOI PL-CL TAI PHU LAMHC" xfId="514"/>
    <cellStyle name="_KT_TG_2_dieu chinh KH 2011 ngay 26-5-2011111" xfId="515"/>
    <cellStyle name="_KT_TG_2_DS KCH PHAN BO VON NSDP NAM 2010" xfId="516"/>
    <cellStyle name="_KT_TG_2_DU TRU VAT TU" xfId="517"/>
    <cellStyle name="_KT_TG_2_giao KH 2011 ngay 10-12-2010" xfId="518"/>
    <cellStyle name="_KT_TG_2_GTGT 2003" xfId="519"/>
    <cellStyle name="_KT_TG_2_KE KHAI THUE GTGT 2004" xfId="520"/>
    <cellStyle name="_KT_TG_2_KE KHAI THUE GTGT 2004_BCTC2004" xfId="521"/>
    <cellStyle name="_KT_TG_2_KH TPCP vung TNB (03-1-2012)" xfId="522"/>
    <cellStyle name="_KT_TG_2_kien giang 2" xfId="523"/>
    <cellStyle name="_KT_TG_2_Lora-tungchau" xfId="524"/>
    <cellStyle name="_KT_TG_2_Luy ke von ung nam 2011 -Thoa gui ngay 12-8-2012" xfId="525"/>
    <cellStyle name="_KT_TG_2_NhanCong" xfId="526"/>
    <cellStyle name="_KT_TG_2_N-X-T-04" xfId="527"/>
    <cellStyle name="_KT_TG_2_phu luc tong ket tinh hinh TH giai doan 03-10 (ngay 30)" xfId="528"/>
    <cellStyle name="_KT_TG_2_Qt-HT3PQ1(CauKho)" xfId="529"/>
    <cellStyle name="_KT_TG_2_Sheet1" xfId="530"/>
    <cellStyle name="_KT_TG_2_TK152-04" xfId="531"/>
    <cellStyle name="_KT_TG_2_ÿÿÿÿÿ" xfId="532"/>
    <cellStyle name="_KT_TG_2_ÿÿÿÿÿ_Bieu mau cong trinh khoi cong moi 3-4" xfId="533"/>
    <cellStyle name="_KT_TG_2_ÿÿÿÿÿ_Bieu3ODA" xfId="534"/>
    <cellStyle name="_KT_TG_2_ÿÿÿÿÿ_Bieu4HTMT" xfId="535"/>
    <cellStyle name="_KT_TG_2_ÿÿÿÿÿ_KH TPCP vung TNB (03-1-2012)" xfId="536"/>
    <cellStyle name="_KT_TG_2_ÿÿÿÿÿ_kien giang 2" xfId="537"/>
    <cellStyle name="_KT_TG_3" xfId="538"/>
    <cellStyle name="_KT_TG_4" xfId="539"/>
    <cellStyle name="_KT_TG_4_Lora-tungchau" xfId="540"/>
    <cellStyle name="_KT_TG_4_Qt-HT3PQ1(CauKho)" xfId="541"/>
    <cellStyle name="_Lora-tungchau" xfId="542"/>
    <cellStyle name="_Luy ke von ung nam 2011 -Thoa gui ngay 12-8-2012" xfId="543"/>
    <cellStyle name="_mau so 3" xfId="544"/>
    <cellStyle name="_MauThanTKKT-goi7-DonGia2143(vl t7)" xfId="545"/>
    <cellStyle name="_MauThanTKKT-goi7-DonGia2143(vl t7)_!1 1 bao cao giao KH ve HTCMT vung TNB   12-12-2011" xfId="546"/>
    <cellStyle name="_MauThanTKKT-goi7-DonGia2143(vl t7)_Bieu4HTMT" xfId="547"/>
    <cellStyle name="_MauThanTKKT-goi7-DonGia2143(vl t7)_Bieu4HTMT_!1 1 bao cao giao KH ve HTCMT vung TNB   12-12-2011" xfId="548"/>
    <cellStyle name="_MauThanTKKT-goi7-DonGia2143(vl t7)_Bieu4HTMT_KH TPCP vung TNB (03-1-2012)" xfId="549"/>
    <cellStyle name="_MauThanTKKT-goi7-DonGia2143(vl t7)_KH TPCP vung TNB (03-1-2012)" xfId="550"/>
    <cellStyle name="_Nhu cau von ung truoc 2011 Tha h Hoa + Nge An gui TW" xfId="551"/>
    <cellStyle name="_Nhu cau von ung truoc 2011 Tha h Hoa + Nge An gui TW_!1 1 bao cao giao KH ve HTCMT vung TNB   12-12-2011" xfId="552"/>
    <cellStyle name="_Nhu cau von ung truoc 2011 Tha h Hoa + Nge An gui TW_Bieu4HTMT" xfId="553"/>
    <cellStyle name="_Nhu cau von ung truoc 2011 Tha h Hoa + Nge An gui TW_Bieu4HTMT_!1 1 bao cao giao KH ve HTCMT vung TNB   12-12-2011" xfId="554"/>
    <cellStyle name="_Nhu cau von ung truoc 2011 Tha h Hoa + Nge An gui TW_Bieu4HTMT_KH TPCP vung TNB (03-1-2012)" xfId="555"/>
    <cellStyle name="_Nhu cau von ung truoc 2011 Tha h Hoa + Nge An gui TW_KH TPCP vung TNB (03-1-2012)" xfId="556"/>
    <cellStyle name="_N-X-T-04" xfId="557"/>
    <cellStyle name="_PERSONAL" xfId="558"/>
    <cellStyle name="_PERSONAL_BC CV 6403 BKHĐT" xfId="559"/>
    <cellStyle name="_PERSONAL_Bieu mau cong trinh khoi cong moi 3-4" xfId="560"/>
    <cellStyle name="_PERSONAL_Bieu3ODA" xfId="561"/>
    <cellStyle name="_PERSONAL_Bieu4HTMT" xfId="562"/>
    <cellStyle name="_PERSONAL_Book1" xfId="563"/>
    <cellStyle name="_PERSONAL_Luy ke von ung nam 2011 -Thoa gui ngay 12-8-2012" xfId="564"/>
    <cellStyle name="_PERSONAL_Tong hop KHCB 2001" xfId="565"/>
    <cellStyle name="_phong bo mon22" xfId="566"/>
    <cellStyle name="_phong bo mon22_!1 1 bao cao giao KH ve HTCMT vung TNB   12-12-2011" xfId="567"/>
    <cellStyle name="_phong bo mon22_KH TPCP vung TNB (03-1-2012)" xfId="568"/>
    <cellStyle name="_phu luc tong ket tinh hinh TH giai doan 03-10 (ngay 30)" xfId="569"/>
    <cellStyle name="_Q TOAN  SCTX QL.62 QUI I ( oanh)" xfId="570"/>
    <cellStyle name="_Q TOAN  SCTX QL.62 QUI II ( oanh)" xfId="571"/>
    <cellStyle name="_QT SCTXQL62_QT1 (Cty QL)" xfId="572"/>
    <cellStyle name="_Qt-HT3PQ1(CauKho)" xfId="573"/>
    <cellStyle name="_Sheet1" xfId="574"/>
    <cellStyle name="_Sheet2" xfId="575"/>
    <cellStyle name="_TG-TH" xfId="576"/>
    <cellStyle name="_TG-TH_1" xfId="577"/>
    <cellStyle name="_TG-TH_1_ApGiaVatTu_cayxanh_latgach" xfId="578"/>
    <cellStyle name="_TG-TH_1_BANG TONG HOP TINH HINH THANH QUYET TOAN (MOI I)" xfId="579"/>
    <cellStyle name="_TG-TH_1_BAO GIA NGAY 24-10-08 (co dam)" xfId="580"/>
    <cellStyle name="_TG-TH_1_BC  NAM 2007" xfId="581"/>
    <cellStyle name="_TG-TH_1_BC CV 6403 BKHĐT" xfId="582"/>
    <cellStyle name="_TG-TH_1_BC NQ11-CP - chinh sua lai" xfId="583"/>
    <cellStyle name="_TG-TH_1_BC NQ11-CP-Quynh sau bieu so3" xfId="584"/>
    <cellStyle name="_TG-TH_1_BC_NQ11-CP_-_Thao_sua_lai" xfId="585"/>
    <cellStyle name="_TG-TH_1_Bieu mau cong trinh khoi cong moi 3-4" xfId="586"/>
    <cellStyle name="_TG-TH_1_Bieu3ODA" xfId="587"/>
    <cellStyle name="_TG-TH_1_Bieu3ODA_1" xfId="588"/>
    <cellStyle name="_TG-TH_1_Bieu4HTMT" xfId="589"/>
    <cellStyle name="_TG-TH_1_bo sung von KCH nam 2010 va Du an tre kho khan" xfId="590"/>
    <cellStyle name="_TG-TH_1_Book1" xfId="591"/>
    <cellStyle name="_TG-TH_1_Book1_1" xfId="592"/>
    <cellStyle name="_TG-TH_1_Book1_1_BC CV 6403 BKHĐT" xfId="593"/>
    <cellStyle name="_TG-TH_1_Book1_1_Bieu mau cong trinh khoi cong moi 3-4" xfId="594"/>
    <cellStyle name="_TG-TH_1_Book1_1_Bieu3ODA" xfId="595"/>
    <cellStyle name="_TG-TH_1_Book1_1_Bieu4HTMT" xfId="596"/>
    <cellStyle name="_TG-TH_1_Book1_1_Book1" xfId="597"/>
    <cellStyle name="_TG-TH_1_Book1_1_Luy ke von ung nam 2011 -Thoa gui ngay 12-8-2012" xfId="598"/>
    <cellStyle name="_TG-TH_1_Book1_2" xfId="599"/>
    <cellStyle name="_TG-TH_1_Book1_2_BC CV 6403 BKHĐT" xfId="600"/>
    <cellStyle name="_TG-TH_1_Book1_2_Bieu3ODA" xfId="601"/>
    <cellStyle name="_TG-TH_1_Book1_2_Luy ke von ung nam 2011 -Thoa gui ngay 12-8-2012" xfId="602"/>
    <cellStyle name="_TG-TH_1_Book1_3" xfId="603"/>
    <cellStyle name="_TG-TH_1_Book1_BC CV 6403 BKHĐT" xfId="604"/>
    <cellStyle name="_TG-TH_1_Book1_Bieu mau cong trinh khoi cong moi 3-4" xfId="605"/>
    <cellStyle name="_TG-TH_1_Book1_Bieu3ODA" xfId="606"/>
    <cellStyle name="_TG-TH_1_Book1_Bieu4HTMT" xfId="607"/>
    <cellStyle name="_TG-TH_1_Book1_bo sung von KCH nam 2010 va Du an tre kho khan" xfId="608"/>
    <cellStyle name="_TG-TH_1_Book1_danh muc chuan bi dau tu 2011 ngay 07-6-2011" xfId="609"/>
    <cellStyle name="_TG-TH_1_Book1_Danh muc pbo nguon von XSKT, XDCB nam 2009 chuyen qua nam 2010" xfId="610"/>
    <cellStyle name="_TG-TH_1_Book1_dieu chinh KH 2011 ngay 26-5-2011111" xfId="611"/>
    <cellStyle name="_TG-TH_1_Book1_DS KCH PHAN BO VON NSDP NAM 2010" xfId="612"/>
    <cellStyle name="_TG-TH_1_Book1_giao KH 2011 ngay 10-12-2010" xfId="613"/>
    <cellStyle name="_TG-TH_1_Book1_Luy ke von ung nam 2011 -Thoa gui ngay 12-8-2012" xfId="614"/>
    <cellStyle name="_TG-TH_1_CAU Khanh Nam(Thi Cong)" xfId="615"/>
    <cellStyle name="_TG-TH_1_ChiHuong_ApGia" xfId="616"/>
    <cellStyle name="_TG-TH_1_CoCauPhi (version 1)" xfId="617"/>
    <cellStyle name="_TG-TH_1_danh muc chuan bi dau tu 2011 ngay 07-6-2011" xfId="618"/>
    <cellStyle name="_TG-TH_1_Danh muc pbo nguon von XSKT, XDCB nam 2009 chuyen qua nam 2010" xfId="619"/>
    <cellStyle name="_TG-TH_1_DAU NOI PL-CL TAI PHU LAMHC" xfId="620"/>
    <cellStyle name="_TG-TH_1_dieu chinh KH 2011 ngay 26-5-2011111" xfId="621"/>
    <cellStyle name="_TG-TH_1_DS KCH PHAN BO VON NSDP NAM 2010" xfId="622"/>
    <cellStyle name="_TG-TH_1_DU TRU VAT TU" xfId="623"/>
    <cellStyle name="_TG-TH_1_giao KH 2011 ngay 10-12-2010" xfId="624"/>
    <cellStyle name="_TG-TH_1_GTGT 2003" xfId="625"/>
    <cellStyle name="_TG-TH_1_KE KHAI THUE GTGT 2004" xfId="626"/>
    <cellStyle name="_TG-TH_1_KE KHAI THUE GTGT 2004_BCTC2004" xfId="627"/>
    <cellStyle name="_TG-TH_1_KH TPCP vung TNB (03-1-2012)" xfId="628"/>
    <cellStyle name="_TG-TH_1_kien giang 2" xfId="629"/>
    <cellStyle name="_TG-TH_1_Lora-tungchau" xfId="630"/>
    <cellStyle name="_TG-TH_1_Luy ke von ung nam 2011 -Thoa gui ngay 12-8-2012" xfId="631"/>
    <cellStyle name="_TG-TH_1_NhanCong" xfId="632"/>
    <cellStyle name="_TG-TH_1_N-X-T-04" xfId="633"/>
    <cellStyle name="_TG-TH_1_phu luc tong ket tinh hinh TH giai doan 03-10 (ngay 30)" xfId="634"/>
    <cellStyle name="_TG-TH_1_Qt-HT3PQ1(CauKho)" xfId="635"/>
    <cellStyle name="_TG-TH_1_Sheet1" xfId="636"/>
    <cellStyle name="_TG-TH_1_TK152-04" xfId="637"/>
    <cellStyle name="_TG-TH_1_ÿÿÿÿÿ" xfId="638"/>
    <cellStyle name="_TG-TH_1_ÿÿÿÿÿ_Bieu mau cong trinh khoi cong moi 3-4" xfId="639"/>
    <cellStyle name="_TG-TH_1_ÿÿÿÿÿ_Bieu3ODA" xfId="640"/>
    <cellStyle name="_TG-TH_1_ÿÿÿÿÿ_Bieu4HTMT" xfId="641"/>
    <cellStyle name="_TG-TH_1_ÿÿÿÿÿ_KH TPCP vung TNB (03-1-2012)" xfId="642"/>
    <cellStyle name="_TG-TH_1_ÿÿÿÿÿ_kien giang 2" xfId="643"/>
    <cellStyle name="_TG-TH_2" xfId="644"/>
    <cellStyle name="_TG-TH_2_ApGiaVatTu_cayxanh_latgach" xfId="645"/>
    <cellStyle name="_TG-TH_2_BANG TONG HOP TINH HINH THANH QUYET TOAN (MOI I)" xfId="646"/>
    <cellStyle name="_TG-TH_2_BAO GIA NGAY 24-10-08 (co dam)" xfId="647"/>
    <cellStyle name="_TG-TH_2_BC  NAM 2007" xfId="648"/>
    <cellStyle name="_TG-TH_2_BC CV 6403 BKHĐT" xfId="649"/>
    <cellStyle name="_TG-TH_2_BC NQ11-CP - chinh sua lai" xfId="650"/>
    <cellStyle name="_TG-TH_2_BC NQ11-CP-Quynh sau bieu so3" xfId="651"/>
    <cellStyle name="_TG-TH_2_BC_NQ11-CP_-_Thao_sua_lai" xfId="652"/>
    <cellStyle name="_TG-TH_2_Bieu mau cong trinh khoi cong moi 3-4" xfId="653"/>
    <cellStyle name="_TG-TH_2_Bieu3ODA" xfId="654"/>
    <cellStyle name="_TG-TH_2_Bieu3ODA_1" xfId="655"/>
    <cellStyle name="_TG-TH_2_Bieu4HTMT" xfId="656"/>
    <cellStyle name="_TG-TH_2_bo sung von KCH nam 2010 va Du an tre kho khan" xfId="657"/>
    <cellStyle name="_TG-TH_2_Book1" xfId="658"/>
    <cellStyle name="_TG-TH_2_Book1_1" xfId="659"/>
    <cellStyle name="_TG-TH_2_Book1_1_BC CV 6403 BKHĐT" xfId="660"/>
    <cellStyle name="_TG-TH_2_Book1_1_Bieu mau cong trinh khoi cong moi 3-4" xfId="661"/>
    <cellStyle name="_TG-TH_2_Book1_1_Bieu3ODA" xfId="662"/>
    <cellStyle name="_TG-TH_2_Book1_1_Bieu4HTMT" xfId="663"/>
    <cellStyle name="_TG-TH_2_Book1_1_Book1" xfId="664"/>
    <cellStyle name="_TG-TH_2_Book1_1_Luy ke von ung nam 2011 -Thoa gui ngay 12-8-2012" xfId="665"/>
    <cellStyle name="_TG-TH_2_Book1_2" xfId="666"/>
    <cellStyle name="_TG-TH_2_Book1_2_BC CV 6403 BKHĐT" xfId="667"/>
    <cellStyle name="_TG-TH_2_Book1_2_Bieu3ODA" xfId="668"/>
    <cellStyle name="_TG-TH_2_Book1_2_Luy ke von ung nam 2011 -Thoa gui ngay 12-8-2012" xfId="669"/>
    <cellStyle name="_TG-TH_2_Book1_3" xfId="670"/>
    <cellStyle name="_TG-TH_2_Book1_BC CV 6403 BKHĐT" xfId="671"/>
    <cellStyle name="_TG-TH_2_Book1_Bieu mau cong trinh khoi cong moi 3-4" xfId="672"/>
    <cellStyle name="_TG-TH_2_Book1_Bieu3ODA" xfId="673"/>
    <cellStyle name="_TG-TH_2_Book1_Bieu4HTMT" xfId="674"/>
    <cellStyle name="_TG-TH_2_Book1_bo sung von KCH nam 2010 va Du an tre kho khan" xfId="675"/>
    <cellStyle name="_TG-TH_2_Book1_danh muc chuan bi dau tu 2011 ngay 07-6-2011" xfId="676"/>
    <cellStyle name="_TG-TH_2_Book1_Danh muc pbo nguon von XSKT, XDCB nam 2009 chuyen qua nam 2010" xfId="677"/>
    <cellStyle name="_TG-TH_2_Book1_dieu chinh KH 2011 ngay 26-5-2011111" xfId="678"/>
    <cellStyle name="_TG-TH_2_Book1_DS KCH PHAN BO VON NSDP NAM 2010" xfId="679"/>
    <cellStyle name="_TG-TH_2_Book1_giao KH 2011 ngay 10-12-2010" xfId="680"/>
    <cellStyle name="_TG-TH_2_Book1_Luy ke von ung nam 2011 -Thoa gui ngay 12-8-2012" xfId="681"/>
    <cellStyle name="_TG-TH_2_CAU Khanh Nam(Thi Cong)" xfId="682"/>
    <cellStyle name="_TG-TH_2_ChiHuong_ApGia" xfId="683"/>
    <cellStyle name="_TG-TH_2_CoCauPhi (version 1)" xfId="684"/>
    <cellStyle name="_TG-TH_2_danh muc chuan bi dau tu 2011 ngay 07-6-2011" xfId="685"/>
    <cellStyle name="_TG-TH_2_Danh muc pbo nguon von XSKT, XDCB nam 2009 chuyen qua nam 2010" xfId="686"/>
    <cellStyle name="_TG-TH_2_DAU NOI PL-CL TAI PHU LAMHC" xfId="687"/>
    <cellStyle name="_TG-TH_2_dieu chinh KH 2011 ngay 26-5-2011111" xfId="688"/>
    <cellStyle name="_TG-TH_2_DS KCH PHAN BO VON NSDP NAM 2010" xfId="689"/>
    <cellStyle name="_TG-TH_2_DU TRU VAT TU" xfId="690"/>
    <cellStyle name="_TG-TH_2_giao KH 2011 ngay 10-12-2010" xfId="691"/>
    <cellStyle name="_TG-TH_2_GTGT 2003" xfId="692"/>
    <cellStyle name="_TG-TH_2_KE KHAI THUE GTGT 2004" xfId="693"/>
    <cellStyle name="_TG-TH_2_KE KHAI THUE GTGT 2004_BCTC2004" xfId="694"/>
    <cellStyle name="_TG-TH_2_KH TPCP vung TNB (03-1-2012)" xfId="695"/>
    <cellStyle name="_TG-TH_2_kien giang 2" xfId="696"/>
    <cellStyle name="_TG-TH_2_Lora-tungchau" xfId="697"/>
    <cellStyle name="_TG-TH_2_Luy ke von ung nam 2011 -Thoa gui ngay 12-8-2012" xfId="698"/>
    <cellStyle name="_TG-TH_2_NhanCong" xfId="699"/>
    <cellStyle name="_TG-TH_2_N-X-T-04" xfId="700"/>
    <cellStyle name="_TG-TH_2_phu luc tong ket tinh hinh TH giai doan 03-10 (ngay 30)" xfId="701"/>
    <cellStyle name="_TG-TH_2_Qt-HT3PQ1(CauKho)" xfId="702"/>
    <cellStyle name="_TG-TH_2_Sheet1" xfId="703"/>
    <cellStyle name="_TG-TH_2_TK152-04" xfId="704"/>
    <cellStyle name="_TG-TH_2_ÿÿÿÿÿ" xfId="705"/>
    <cellStyle name="_TG-TH_2_ÿÿÿÿÿ_Bieu mau cong trinh khoi cong moi 3-4" xfId="706"/>
    <cellStyle name="_TG-TH_2_ÿÿÿÿÿ_Bieu3ODA" xfId="707"/>
    <cellStyle name="_TG-TH_2_ÿÿÿÿÿ_Bieu4HTMT" xfId="708"/>
    <cellStyle name="_TG-TH_2_ÿÿÿÿÿ_KH TPCP vung TNB (03-1-2012)" xfId="709"/>
    <cellStyle name="_TG-TH_2_ÿÿÿÿÿ_kien giang 2" xfId="710"/>
    <cellStyle name="_TG-TH_3" xfId="711"/>
    <cellStyle name="_TG-TH_3_Lora-tungchau" xfId="712"/>
    <cellStyle name="_TG-TH_3_Qt-HT3PQ1(CauKho)" xfId="713"/>
    <cellStyle name="_TG-TH_4" xfId="714"/>
    <cellStyle name="_TK152-04" xfId="715"/>
    <cellStyle name="_Tong dutoan PP LAHAI" xfId="716"/>
    <cellStyle name="_TPCP GT-24-5-Mien Nui" xfId="717"/>
    <cellStyle name="_TPCP GT-24-5-Mien Nui_!1 1 bao cao giao KH ve HTCMT vung TNB   12-12-2011" xfId="718"/>
    <cellStyle name="_TPCP GT-24-5-Mien Nui_Bieu4HTMT" xfId="719"/>
    <cellStyle name="_TPCP GT-24-5-Mien Nui_Bieu4HTMT_!1 1 bao cao giao KH ve HTCMT vung TNB   12-12-2011" xfId="720"/>
    <cellStyle name="_TPCP GT-24-5-Mien Nui_Bieu4HTMT_KH TPCP vung TNB (03-1-2012)" xfId="721"/>
    <cellStyle name="_TPCP GT-24-5-Mien Nui_KH TPCP vung TNB (03-1-2012)" xfId="722"/>
    <cellStyle name="_ung truoc 2011 NSTW Thanh Hoa + Nge An gui Thu 12-5" xfId="723"/>
    <cellStyle name="_ung truoc 2011 NSTW Thanh Hoa + Nge An gui Thu 12-5_!1 1 bao cao giao KH ve HTCMT vung TNB   12-12-2011" xfId="724"/>
    <cellStyle name="_ung truoc 2011 NSTW Thanh Hoa + Nge An gui Thu 12-5_Bieu4HTMT" xfId="725"/>
    <cellStyle name="_ung truoc 2011 NSTW Thanh Hoa + Nge An gui Thu 12-5_Bieu4HTMT_!1 1 bao cao giao KH ve HTCMT vung TNB   12-12-2011" xfId="726"/>
    <cellStyle name="_ung truoc 2011 NSTW Thanh Hoa + Nge An gui Thu 12-5_Bieu4HTMT_KH TPCP vung TNB (03-1-2012)" xfId="727"/>
    <cellStyle name="_ung truoc 2011 NSTW Thanh Hoa + Nge An gui Thu 12-5_KH TPCP vung TNB (03-1-2012)" xfId="728"/>
    <cellStyle name="_ung truoc cua long an (6-5-2010)" xfId="729"/>
    <cellStyle name="_Ung von nam 2011 vung TNB - Doan Cong tac (12-5-2010)" xfId="730"/>
    <cellStyle name="_Ung von nam 2011 vung TNB - Doan Cong tac (12-5-2010)_!1 1 bao cao giao KH ve HTCMT vung TNB   12-12-2011" xfId="731"/>
    <cellStyle name="_Ung von nam 2011 vung TNB - Doan Cong tac (12-5-2010)_Bieu4HTMT" xfId="732"/>
    <cellStyle name="_Ung von nam 2011 vung TNB - Doan Cong tac (12-5-2010)_Bieu4HTMT_!1 1 bao cao giao KH ve HTCMT vung TNB   12-12-2011" xfId="733"/>
    <cellStyle name="_Ung von nam 2011 vung TNB - Doan Cong tac (12-5-2010)_Bieu4HTMT_KH TPCP vung TNB (03-1-2012)" xfId="734"/>
    <cellStyle name="_Ung von nam 2011 vung TNB - Doan Cong tac (12-5-2010)_Cong trinh co y kien LD_Dang_NN_2011-Tay nguyen-9-10" xfId="735"/>
    <cellStyle name="_Ung von nam 2011 vung TNB - Doan Cong tac (12-5-2010)_Cong trinh co y kien LD_Dang_NN_2011-Tay nguyen-9-10_!1 1 bao cao giao KH ve HTCMT vung TNB   12-12-2011" xfId="736"/>
    <cellStyle name="_Ung von nam 2011 vung TNB - Doan Cong tac (12-5-2010)_Cong trinh co y kien LD_Dang_NN_2011-Tay nguyen-9-10_Bieu4HTMT" xfId="737"/>
    <cellStyle name="_Ung von nam 2011 vung TNB - Doan Cong tac (12-5-2010)_Cong trinh co y kien LD_Dang_NN_2011-Tay nguyen-9-10_Bieu4HTMT_!1 1 bao cao giao KH ve HTCMT vung TNB   12-12-2011" xfId="738"/>
    <cellStyle name="_Ung von nam 2011 vung TNB - Doan Cong tac (12-5-2010)_Cong trinh co y kien LD_Dang_NN_2011-Tay nguyen-9-10_Bieu4HTMT_KH TPCP vung TNB (03-1-2012)" xfId="739"/>
    <cellStyle name="_Ung von nam 2011 vung TNB - Doan Cong tac (12-5-2010)_Cong trinh co y kien LD_Dang_NN_2011-Tay nguyen-9-10_KH TPCP vung TNB (03-1-2012)" xfId="740"/>
    <cellStyle name="_Ung von nam 2011 vung TNB - Doan Cong tac (12-5-2010)_KH TPCP vung TNB (03-1-2012)" xfId="741"/>
    <cellStyle name="_Ung von nam 2011 vung TNB - Doan Cong tac (12-5-2010)_TN - Ho tro khac 2011" xfId="742"/>
    <cellStyle name="_Ung von nam 2011 vung TNB - Doan Cong tac (12-5-2010)_TN - Ho tro khac 2011_!1 1 bao cao giao KH ve HTCMT vung TNB   12-12-2011" xfId="743"/>
    <cellStyle name="_Ung von nam 2011 vung TNB - Doan Cong tac (12-5-2010)_TN - Ho tro khac 2011_Bieu4HTMT" xfId="744"/>
    <cellStyle name="_Ung von nam 2011 vung TNB - Doan Cong tac (12-5-2010)_TN - Ho tro khac 2011_Bieu4HTMT_!1 1 bao cao giao KH ve HTCMT vung TNB   12-12-2011" xfId="745"/>
    <cellStyle name="_Ung von nam 2011 vung TNB - Doan Cong tac (12-5-2010)_TN - Ho tro khac 2011_Bieu4HTMT_KH TPCP vung TNB (03-1-2012)" xfId="746"/>
    <cellStyle name="_Ung von nam 2011 vung TNB - Doan Cong tac (12-5-2010)_TN - Ho tro khac 2011_KH TPCP vung TNB (03-1-2012)" xfId="747"/>
    <cellStyle name="_XDCB thang 12.2010" xfId="748"/>
    <cellStyle name="_ÿÿÿÿÿ" xfId="749"/>
    <cellStyle name="_ÿÿÿÿÿ_Bieu mau cong trinh khoi cong moi 3-4" xfId="750"/>
    <cellStyle name="_ÿÿÿÿÿ_Bieu mau cong trinh khoi cong moi 3-4_!1 1 bao cao giao KH ve HTCMT vung TNB   12-12-2011" xfId="751"/>
    <cellStyle name="_ÿÿÿÿÿ_Bieu mau cong trinh khoi cong moi 3-4_KH TPCP vung TNB (03-1-2012)" xfId="752"/>
    <cellStyle name="_ÿÿÿÿÿ_Bieu3ODA" xfId="753"/>
    <cellStyle name="_ÿÿÿÿÿ_Bieu3ODA_!1 1 bao cao giao KH ve HTCMT vung TNB   12-12-2011" xfId="754"/>
    <cellStyle name="_ÿÿÿÿÿ_Bieu3ODA_KH TPCP vung TNB (03-1-2012)" xfId="755"/>
    <cellStyle name="_ÿÿÿÿÿ_Bieu4HTMT" xfId="756"/>
    <cellStyle name="_ÿÿÿÿÿ_Bieu4HTMT_!1 1 bao cao giao KH ve HTCMT vung TNB   12-12-2011" xfId="757"/>
    <cellStyle name="_ÿÿÿÿÿ_Bieu4HTMT_KH TPCP vung TNB (03-1-2012)" xfId="758"/>
    <cellStyle name="_ÿÿÿÿÿ_Kh ql62 (2010) 11-09" xfId="759"/>
    <cellStyle name="_ÿÿÿÿÿ_KH TPCP vung TNB (03-1-2012)" xfId="760"/>
    <cellStyle name="_ÿÿÿÿÿ_Khung 2012" xfId="761"/>
    <cellStyle name="_ÿÿÿÿÿ_kien giang 2" xfId="762"/>
    <cellStyle name="~1" xfId="763"/>
    <cellStyle name="’Ê‰Ý [0.00]_laroux" xfId="764"/>
    <cellStyle name="’Ê‰Ý_laroux" xfId="765"/>
    <cellStyle name="•W?_Format" xfId="766"/>
    <cellStyle name="•W_¯–ì" xfId="767"/>
    <cellStyle name="•W€_’·Šú‰p•¶" xfId="768"/>
    <cellStyle name="0" xfId="769"/>
    <cellStyle name="0 2" xfId="770"/>
    <cellStyle name="0,0&#13;&#10;NA&#13;&#10;" xfId="771"/>
    <cellStyle name="0.0" xfId="772"/>
    <cellStyle name="0.0 2" xfId="773"/>
    <cellStyle name="0.00" xfId="774"/>
    <cellStyle name="0.00 2" xfId="775"/>
    <cellStyle name="1" xfId="776"/>
    <cellStyle name="1_!1 1 bao cao giao KH ve HTCMT vung TNB   12-12-2011" xfId="777"/>
    <cellStyle name="1_BAO GIA NGAY 24-10-08 (co dam)" xfId="778"/>
    <cellStyle name="1_Bieu4HTMT" xfId="779"/>
    <cellStyle name="1_Book1" xfId="780"/>
    <cellStyle name="1_Book1_1" xfId="781"/>
    <cellStyle name="1_Book1_1_!1 1 bao cao giao KH ve HTCMT vung TNB   12-12-2011" xfId="782"/>
    <cellStyle name="1_Book1_1_Bieu4HTMT" xfId="783"/>
    <cellStyle name="1_Book1_1_Bieu4HTMT_!1 1 bao cao giao KH ve HTCMT vung TNB   12-12-2011" xfId="784"/>
    <cellStyle name="1_Book1_1_Bieu4HTMT_KH TPCP vung TNB (03-1-2012)" xfId="785"/>
    <cellStyle name="1_Book1_1_KH TPCP vung TNB (03-1-2012)" xfId="786"/>
    <cellStyle name="1_Cau thuy dien Ban La (Cu Anh)" xfId="787"/>
    <cellStyle name="1_Cau thuy dien Ban La (Cu Anh)_!1 1 bao cao giao KH ve HTCMT vung TNB   12-12-2011" xfId="788"/>
    <cellStyle name="1_Cau thuy dien Ban La (Cu Anh)_Bieu4HTMT" xfId="789"/>
    <cellStyle name="1_Cau thuy dien Ban La (Cu Anh)_Bieu4HTMT_!1 1 bao cao giao KH ve HTCMT vung TNB   12-12-2011" xfId="790"/>
    <cellStyle name="1_Cau thuy dien Ban La (Cu Anh)_Bieu4HTMT_KH TPCP vung TNB (03-1-2012)" xfId="791"/>
    <cellStyle name="1_Cau thuy dien Ban La (Cu Anh)_KH TPCP vung TNB (03-1-2012)" xfId="792"/>
    <cellStyle name="1_Cong trinh co y kien LD_Dang_NN_2011-Tay nguyen-9-10" xfId="793"/>
    <cellStyle name="1_Du toan 558 (Km17+508.12 - Km 22)" xfId="794"/>
    <cellStyle name="1_Du toan 558 (Km17+508.12 - Km 22)_!1 1 bao cao giao KH ve HTCMT vung TNB   12-12-2011" xfId="795"/>
    <cellStyle name="1_Du toan 558 (Km17+508.12 - Km 22)_Bieu4HTMT" xfId="796"/>
    <cellStyle name="1_Du toan 558 (Km17+508.12 - Km 22)_Bieu4HTMT_!1 1 bao cao giao KH ve HTCMT vung TNB   12-12-2011" xfId="797"/>
    <cellStyle name="1_Du toan 558 (Km17+508.12 - Km 22)_Bieu4HTMT_KH TPCP vung TNB (03-1-2012)" xfId="798"/>
    <cellStyle name="1_Du toan 558 (Km17+508.12 - Km 22)_KH TPCP vung TNB (03-1-2012)" xfId="799"/>
    <cellStyle name="1_Gia_VLQL48_duyet " xfId="800"/>
    <cellStyle name="1_Gia_VLQL48_duyet _!1 1 bao cao giao KH ve HTCMT vung TNB   12-12-2011" xfId="801"/>
    <cellStyle name="1_Gia_VLQL48_duyet _Bieu4HTMT" xfId="802"/>
    <cellStyle name="1_Gia_VLQL48_duyet _Bieu4HTMT_!1 1 bao cao giao KH ve HTCMT vung TNB   12-12-2011" xfId="803"/>
    <cellStyle name="1_Gia_VLQL48_duyet _Bieu4HTMT_KH TPCP vung TNB (03-1-2012)" xfId="804"/>
    <cellStyle name="1_Gia_VLQL48_duyet _KH TPCP vung TNB (03-1-2012)" xfId="805"/>
    <cellStyle name="1_Kh ql62 (2010) 11-09" xfId="806"/>
    <cellStyle name="1_KH TPCP vung TNB (03-1-2012)" xfId="807"/>
    <cellStyle name="1_Khung 2012" xfId="808"/>
    <cellStyle name="1_KlQdinhduyet" xfId="809"/>
    <cellStyle name="1_KlQdinhduyet_!1 1 bao cao giao KH ve HTCMT vung TNB   12-12-2011" xfId="810"/>
    <cellStyle name="1_KlQdinhduyet_Bieu4HTMT" xfId="811"/>
    <cellStyle name="1_KlQdinhduyet_Bieu4HTMT_!1 1 bao cao giao KH ve HTCMT vung TNB   12-12-2011" xfId="812"/>
    <cellStyle name="1_KlQdinhduyet_Bieu4HTMT_KH TPCP vung TNB (03-1-2012)" xfId="813"/>
    <cellStyle name="1_KlQdinhduyet_KH TPCP vung TNB (03-1-2012)" xfId="814"/>
    <cellStyle name="1_TN - Ho tro khac 2011" xfId="815"/>
    <cellStyle name="1_TRUNG PMU 5" xfId="816"/>
    <cellStyle name="1_ÿÿÿÿÿ" xfId="817"/>
    <cellStyle name="1_ÿÿÿÿÿ_Bieu tong hop nhu cau ung 2011 da chon loc -Mien nui" xfId="818"/>
    <cellStyle name="1_ÿÿÿÿÿ_Bieu tong hop nhu cau ung 2011 da chon loc -Mien nui 2" xfId="819"/>
    <cellStyle name="1_ÿÿÿÿÿ_Kh ql62 (2010) 11-09" xfId="820"/>
    <cellStyle name="1_ÿÿÿÿÿ_Khung 2012" xfId="821"/>
    <cellStyle name="15" xfId="822"/>
    <cellStyle name="18" xfId="823"/>
    <cellStyle name="¹éºÐÀ²_      " xfId="824"/>
    <cellStyle name="2" xfId="825"/>
    <cellStyle name="2_Book1" xfId="826"/>
    <cellStyle name="2_Book1_1" xfId="827"/>
    <cellStyle name="2_Book1_1_!1 1 bao cao giao KH ve HTCMT vung TNB   12-12-2011" xfId="828"/>
    <cellStyle name="2_Book1_1_Bieu4HTMT" xfId="829"/>
    <cellStyle name="2_Book1_1_Bieu4HTMT_!1 1 bao cao giao KH ve HTCMT vung TNB   12-12-2011" xfId="830"/>
    <cellStyle name="2_Book1_1_Bieu4HTMT_KH TPCP vung TNB (03-1-2012)" xfId="831"/>
    <cellStyle name="2_Book1_1_KH TPCP vung TNB (03-1-2012)" xfId="832"/>
    <cellStyle name="2_Cau thuy dien Ban La (Cu Anh)" xfId="833"/>
    <cellStyle name="2_Cau thuy dien Ban La (Cu Anh)_!1 1 bao cao giao KH ve HTCMT vung TNB   12-12-2011" xfId="834"/>
    <cellStyle name="2_Cau thuy dien Ban La (Cu Anh)_Bieu4HTMT" xfId="835"/>
    <cellStyle name="2_Cau thuy dien Ban La (Cu Anh)_Bieu4HTMT_!1 1 bao cao giao KH ve HTCMT vung TNB   12-12-2011" xfId="836"/>
    <cellStyle name="2_Cau thuy dien Ban La (Cu Anh)_Bieu4HTMT_KH TPCP vung TNB (03-1-2012)" xfId="837"/>
    <cellStyle name="2_Cau thuy dien Ban La (Cu Anh)_KH TPCP vung TNB (03-1-2012)" xfId="838"/>
    <cellStyle name="2_Du toan 558 (Km17+508.12 - Km 22)" xfId="839"/>
    <cellStyle name="2_Du toan 558 (Km17+508.12 - Km 22)_!1 1 bao cao giao KH ve HTCMT vung TNB   12-12-2011" xfId="840"/>
    <cellStyle name="2_Du toan 558 (Km17+508.12 - Km 22)_Bieu4HTMT" xfId="841"/>
    <cellStyle name="2_Du toan 558 (Km17+508.12 - Km 22)_Bieu4HTMT_!1 1 bao cao giao KH ve HTCMT vung TNB   12-12-2011" xfId="842"/>
    <cellStyle name="2_Du toan 558 (Km17+508.12 - Km 22)_Bieu4HTMT_KH TPCP vung TNB (03-1-2012)" xfId="843"/>
    <cellStyle name="2_Du toan 558 (Km17+508.12 - Km 22)_KH TPCP vung TNB (03-1-2012)" xfId="844"/>
    <cellStyle name="2_Gia_VLQL48_duyet " xfId="845"/>
    <cellStyle name="2_Gia_VLQL48_duyet _!1 1 bao cao giao KH ve HTCMT vung TNB   12-12-2011" xfId="846"/>
    <cellStyle name="2_Gia_VLQL48_duyet _Bieu4HTMT" xfId="847"/>
    <cellStyle name="2_Gia_VLQL48_duyet _Bieu4HTMT_!1 1 bao cao giao KH ve HTCMT vung TNB   12-12-2011" xfId="848"/>
    <cellStyle name="2_Gia_VLQL48_duyet _Bieu4HTMT_KH TPCP vung TNB (03-1-2012)" xfId="849"/>
    <cellStyle name="2_Gia_VLQL48_duyet _KH TPCP vung TNB (03-1-2012)" xfId="850"/>
    <cellStyle name="2_KlQdinhduyet" xfId="851"/>
    <cellStyle name="2_KlQdinhduyet_!1 1 bao cao giao KH ve HTCMT vung TNB   12-12-2011" xfId="852"/>
    <cellStyle name="2_KlQdinhduyet_Bieu4HTMT" xfId="853"/>
    <cellStyle name="2_KlQdinhduyet_Bieu4HTMT_!1 1 bao cao giao KH ve HTCMT vung TNB   12-12-2011" xfId="854"/>
    <cellStyle name="2_KlQdinhduyet_Bieu4HTMT_KH TPCP vung TNB (03-1-2012)" xfId="855"/>
    <cellStyle name="2_KlQdinhduyet_KH TPCP vung TNB (03-1-2012)" xfId="856"/>
    <cellStyle name="2_TRUNG PMU 5" xfId="857"/>
    <cellStyle name="2_ÿÿÿÿÿ" xfId="858"/>
    <cellStyle name="2_ÿÿÿÿÿ_Bieu tong hop nhu cau ung 2011 da chon loc -Mien nui" xfId="859"/>
    <cellStyle name="2_ÿÿÿÿÿ_Bieu tong hop nhu cau ung 2011 da chon loc -Mien nui 2" xfId="860"/>
    <cellStyle name="20% - Accent1" xfId="861"/>
    <cellStyle name="20% - Accent2" xfId="862"/>
    <cellStyle name="20% - Accent3" xfId="863"/>
    <cellStyle name="20% - Accent4" xfId="864"/>
    <cellStyle name="20% - Accent5" xfId="865"/>
    <cellStyle name="20% - Accent6" xfId="866"/>
    <cellStyle name="-2001" xfId="867"/>
    <cellStyle name="3" xfId="868"/>
    <cellStyle name="3_Book1" xfId="869"/>
    <cellStyle name="3_Book1_1" xfId="870"/>
    <cellStyle name="3_Book1_1_!1 1 bao cao giao KH ve HTCMT vung TNB   12-12-2011" xfId="871"/>
    <cellStyle name="3_Book1_1_Bieu4HTMT" xfId="872"/>
    <cellStyle name="3_Book1_1_Bieu4HTMT_!1 1 bao cao giao KH ve HTCMT vung TNB   12-12-2011" xfId="873"/>
    <cellStyle name="3_Book1_1_Bieu4HTMT_KH TPCP vung TNB (03-1-2012)" xfId="874"/>
    <cellStyle name="3_Book1_1_KH TPCP vung TNB (03-1-2012)" xfId="875"/>
    <cellStyle name="3_Cau thuy dien Ban La (Cu Anh)" xfId="876"/>
    <cellStyle name="3_Cau thuy dien Ban La (Cu Anh)_!1 1 bao cao giao KH ve HTCMT vung TNB   12-12-2011" xfId="877"/>
    <cellStyle name="3_Cau thuy dien Ban La (Cu Anh)_Bieu4HTMT" xfId="878"/>
    <cellStyle name="3_Cau thuy dien Ban La (Cu Anh)_Bieu4HTMT_!1 1 bao cao giao KH ve HTCMT vung TNB   12-12-2011" xfId="879"/>
    <cellStyle name="3_Cau thuy dien Ban La (Cu Anh)_Bieu4HTMT_KH TPCP vung TNB (03-1-2012)" xfId="880"/>
    <cellStyle name="3_Cau thuy dien Ban La (Cu Anh)_KH TPCP vung TNB (03-1-2012)" xfId="881"/>
    <cellStyle name="3_Du toan 558 (Km17+508.12 - Km 22)" xfId="882"/>
    <cellStyle name="3_Du toan 558 (Km17+508.12 - Km 22)_!1 1 bao cao giao KH ve HTCMT vung TNB   12-12-2011" xfId="883"/>
    <cellStyle name="3_Du toan 558 (Km17+508.12 - Km 22)_Bieu4HTMT" xfId="884"/>
    <cellStyle name="3_Du toan 558 (Km17+508.12 - Km 22)_Bieu4HTMT_!1 1 bao cao giao KH ve HTCMT vung TNB   12-12-2011" xfId="885"/>
    <cellStyle name="3_Du toan 558 (Km17+508.12 - Km 22)_Bieu4HTMT_KH TPCP vung TNB (03-1-2012)" xfId="886"/>
    <cellStyle name="3_Du toan 558 (Km17+508.12 - Km 22)_KH TPCP vung TNB (03-1-2012)" xfId="887"/>
    <cellStyle name="3_Gia_VLQL48_duyet " xfId="888"/>
    <cellStyle name="3_Gia_VLQL48_duyet _!1 1 bao cao giao KH ve HTCMT vung TNB   12-12-2011" xfId="889"/>
    <cellStyle name="3_Gia_VLQL48_duyet _Bieu4HTMT" xfId="890"/>
    <cellStyle name="3_Gia_VLQL48_duyet _Bieu4HTMT_!1 1 bao cao giao KH ve HTCMT vung TNB   12-12-2011" xfId="891"/>
    <cellStyle name="3_Gia_VLQL48_duyet _Bieu4HTMT_KH TPCP vung TNB (03-1-2012)" xfId="892"/>
    <cellStyle name="3_Gia_VLQL48_duyet _KH TPCP vung TNB (03-1-2012)" xfId="893"/>
    <cellStyle name="3_KlQdinhduyet" xfId="894"/>
    <cellStyle name="3_KlQdinhduyet_!1 1 bao cao giao KH ve HTCMT vung TNB   12-12-2011" xfId="895"/>
    <cellStyle name="3_KlQdinhduyet_Bieu4HTMT" xfId="896"/>
    <cellStyle name="3_KlQdinhduyet_Bieu4HTMT_!1 1 bao cao giao KH ve HTCMT vung TNB   12-12-2011" xfId="897"/>
    <cellStyle name="3_KlQdinhduyet_Bieu4HTMT_KH TPCP vung TNB (03-1-2012)" xfId="898"/>
    <cellStyle name="3_KlQdinhduyet_KH TPCP vung TNB (03-1-2012)" xfId="899"/>
    <cellStyle name="3_ÿÿÿÿÿ" xfId="900"/>
    <cellStyle name="4" xfId="901"/>
    <cellStyle name="4_Book1" xfId="902"/>
    <cellStyle name="4_Book1_1" xfId="903"/>
    <cellStyle name="4_Book1_1_!1 1 bao cao giao KH ve HTCMT vung TNB   12-12-2011" xfId="904"/>
    <cellStyle name="4_Book1_1_Bieu4HTMT" xfId="905"/>
    <cellStyle name="4_Book1_1_Bieu4HTMT_!1 1 bao cao giao KH ve HTCMT vung TNB   12-12-2011" xfId="906"/>
    <cellStyle name="4_Book1_1_Bieu4HTMT_KH TPCP vung TNB (03-1-2012)" xfId="907"/>
    <cellStyle name="4_Book1_1_KH TPCP vung TNB (03-1-2012)" xfId="908"/>
    <cellStyle name="4_Cau thuy dien Ban La (Cu Anh)" xfId="909"/>
    <cellStyle name="4_Cau thuy dien Ban La (Cu Anh)_!1 1 bao cao giao KH ve HTCMT vung TNB   12-12-2011" xfId="910"/>
    <cellStyle name="4_Cau thuy dien Ban La (Cu Anh)_Bieu4HTMT" xfId="911"/>
    <cellStyle name="4_Cau thuy dien Ban La (Cu Anh)_Bieu4HTMT_!1 1 bao cao giao KH ve HTCMT vung TNB   12-12-2011" xfId="912"/>
    <cellStyle name="4_Cau thuy dien Ban La (Cu Anh)_Bieu4HTMT_KH TPCP vung TNB (03-1-2012)" xfId="913"/>
    <cellStyle name="4_Cau thuy dien Ban La (Cu Anh)_KH TPCP vung TNB (03-1-2012)" xfId="914"/>
    <cellStyle name="4_Du toan 558 (Km17+508.12 - Km 22)" xfId="915"/>
    <cellStyle name="4_Du toan 558 (Km17+508.12 - Km 22)_!1 1 bao cao giao KH ve HTCMT vung TNB   12-12-2011" xfId="916"/>
    <cellStyle name="4_Du toan 558 (Km17+508.12 - Km 22)_Bieu4HTMT" xfId="917"/>
    <cellStyle name="4_Du toan 558 (Km17+508.12 - Km 22)_Bieu4HTMT_!1 1 bao cao giao KH ve HTCMT vung TNB   12-12-2011" xfId="918"/>
    <cellStyle name="4_Du toan 558 (Km17+508.12 - Km 22)_Bieu4HTMT_KH TPCP vung TNB (03-1-2012)" xfId="919"/>
    <cellStyle name="4_Du toan 558 (Km17+508.12 - Km 22)_KH TPCP vung TNB (03-1-2012)" xfId="920"/>
    <cellStyle name="4_Gia_VLQL48_duyet " xfId="921"/>
    <cellStyle name="4_Gia_VLQL48_duyet _!1 1 bao cao giao KH ve HTCMT vung TNB   12-12-2011" xfId="922"/>
    <cellStyle name="4_Gia_VLQL48_duyet _Bieu4HTMT" xfId="923"/>
    <cellStyle name="4_Gia_VLQL48_duyet _Bieu4HTMT_!1 1 bao cao giao KH ve HTCMT vung TNB   12-12-2011" xfId="924"/>
    <cellStyle name="4_Gia_VLQL48_duyet _Bieu4HTMT_KH TPCP vung TNB (03-1-2012)" xfId="925"/>
    <cellStyle name="4_Gia_VLQL48_duyet _KH TPCP vung TNB (03-1-2012)" xfId="926"/>
    <cellStyle name="4_KlQdinhduyet" xfId="927"/>
    <cellStyle name="4_KlQdinhduyet_!1 1 bao cao giao KH ve HTCMT vung TNB   12-12-2011" xfId="928"/>
    <cellStyle name="4_KlQdinhduyet_Bieu4HTMT" xfId="929"/>
    <cellStyle name="4_KlQdinhduyet_Bieu4HTMT_!1 1 bao cao giao KH ve HTCMT vung TNB   12-12-2011" xfId="930"/>
    <cellStyle name="4_KlQdinhduyet_Bieu4HTMT_KH TPCP vung TNB (03-1-2012)" xfId="931"/>
    <cellStyle name="4_KlQdinhduyet_KH TPCP vung TNB (03-1-2012)" xfId="932"/>
    <cellStyle name="4_ÿÿÿÿÿ" xfId="933"/>
    <cellStyle name="40% - Accent1" xfId="934"/>
    <cellStyle name="40% - Accent2" xfId="935"/>
    <cellStyle name="40% - Accent3" xfId="936"/>
    <cellStyle name="40% - Accent4" xfId="937"/>
    <cellStyle name="40% - Accent5" xfId="938"/>
    <cellStyle name="40% - Accent6" xfId="939"/>
    <cellStyle name="52" xfId="940"/>
    <cellStyle name="6" xfId="941"/>
    <cellStyle name="6_Cong trinh co y kien LD_Dang_NN_2011-Tay nguyen-9-10" xfId="942"/>
    <cellStyle name="6_Cong trinh co y kien LD_Dang_NN_2011-Tay nguyen-9-10_!1 1 bao cao giao KH ve HTCMT vung TNB   12-12-2011" xfId="943"/>
    <cellStyle name="6_Cong trinh co y kien LD_Dang_NN_2011-Tay nguyen-9-10_Bieu4HTMT" xfId="944"/>
    <cellStyle name="6_Cong trinh co y kien LD_Dang_NN_2011-Tay nguyen-9-10_Bieu4HTMT_!1 1 bao cao giao KH ve HTCMT vung TNB   12-12-2011" xfId="945"/>
    <cellStyle name="6_Cong trinh co y kien LD_Dang_NN_2011-Tay nguyen-9-10_Bieu4HTMT_KH TPCP vung TNB (03-1-2012)" xfId="946"/>
    <cellStyle name="6_Cong trinh co y kien LD_Dang_NN_2011-Tay nguyen-9-10_KH TPCP vung TNB (03-1-2012)" xfId="947"/>
    <cellStyle name="6_TN - Ho tro khac 2011" xfId="948"/>
    <cellStyle name="6_TN - Ho tro khac 2011_!1 1 bao cao giao KH ve HTCMT vung TNB   12-12-2011" xfId="949"/>
    <cellStyle name="6_TN - Ho tro khac 2011_Bieu4HTMT" xfId="950"/>
    <cellStyle name="6_TN - Ho tro khac 2011_Bieu4HTMT_!1 1 bao cao giao KH ve HTCMT vung TNB   12-12-2011" xfId="951"/>
    <cellStyle name="6_TN - Ho tro khac 2011_Bieu4HTMT_KH TPCP vung TNB (03-1-2012)" xfId="952"/>
    <cellStyle name="6_TN - Ho tro khac 2011_KH TPCP vung TNB (03-1-2012)" xfId="953"/>
    <cellStyle name="60% - Accent1" xfId="954"/>
    <cellStyle name="60% - Accent2" xfId="955"/>
    <cellStyle name="60% - Accent3" xfId="956"/>
    <cellStyle name="60% - Accent4" xfId="957"/>
    <cellStyle name="60% - Accent5" xfId="958"/>
    <cellStyle name="60% - Accent6" xfId="959"/>
    <cellStyle name="9" xfId="960"/>
    <cellStyle name="9_!1 1 bao cao giao KH ve HTCMT vung TNB   12-12-2011" xfId="961"/>
    <cellStyle name="9_Bieu4HTMT" xfId="962"/>
    <cellStyle name="9_Bieu4HTMT_!1 1 bao cao giao KH ve HTCMT vung TNB   12-12-2011" xfId="963"/>
    <cellStyle name="9_Bieu4HTMT_KH TPCP vung TNB (03-1-2012)" xfId="964"/>
    <cellStyle name="9_KH TPCP vung TNB (03-1-2012)" xfId="965"/>
    <cellStyle name="Accent1" xfId="966"/>
    <cellStyle name="Accent2" xfId="967"/>
    <cellStyle name="Accent3" xfId="968"/>
    <cellStyle name="Accent4" xfId="969"/>
    <cellStyle name="Accent5" xfId="970"/>
    <cellStyle name="Accent6" xfId="971"/>
    <cellStyle name="ÅëÈ­ [0]_      " xfId="972"/>
    <cellStyle name="AeE­ [0]_INQUIRY ¿?¾÷AßAø " xfId="973"/>
    <cellStyle name="ÅëÈ­ [0]_L601CPT" xfId="974"/>
    <cellStyle name="ÅëÈ­_      " xfId="975"/>
    <cellStyle name="AeE­_INQUIRY ¿?¾÷AßAø " xfId="976"/>
    <cellStyle name="ÅëÈ­_L601CPT" xfId="977"/>
    <cellStyle name="args.style" xfId="978"/>
    <cellStyle name="at" xfId="979"/>
    <cellStyle name="ÄÞ¸¶ [0]_      " xfId="980"/>
    <cellStyle name="AÞ¸¶ [0]_INQUIRY ¿?¾÷AßAø " xfId="981"/>
    <cellStyle name="ÄÞ¸¶ [0]_L601CPT" xfId="982"/>
    <cellStyle name="ÄÞ¸¶_      " xfId="983"/>
    <cellStyle name="AÞ¸¶_INQUIRY ¿?¾÷AßAø " xfId="984"/>
    <cellStyle name="ÄÞ¸¶_L601CPT" xfId="985"/>
    <cellStyle name="AutoFormat Options" xfId="986"/>
    <cellStyle name="Bad" xfId="987"/>
    <cellStyle name="Bad 2" xfId="988"/>
    <cellStyle name="Bình thường 2" xfId="989"/>
    <cellStyle name="Body" xfId="990"/>
    <cellStyle name="C?AØ_¿?¾÷CoE² " xfId="991"/>
    <cellStyle name="C~1" xfId="992"/>
    <cellStyle name="Ç¥ÁØ_      " xfId="993"/>
    <cellStyle name="C￥AØ_¿μ¾÷CoE² " xfId="994"/>
    <cellStyle name="Ç¥ÁØ_±¸¹Ì´ëÃ¥" xfId="995"/>
    <cellStyle name="C￥AØ_Sheet1_¿μ¾÷CoE² " xfId="996"/>
    <cellStyle name="Ç¥ÁØ_ÿÿÿÿÿÿ_4_ÃÑÇÕ°è " xfId="997"/>
    <cellStyle name="Calc Currency (0)" xfId="998"/>
    <cellStyle name="Calc Currency (2)" xfId="999"/>
    <cellStyle name="Calc Percent (0)" xfId="1000"/>
    <cellStyle name="Calc Percent (1)" xfId="1001"/>
    <cellStyle name="Calc Percent (2)" xfId="1002"/>
    <cellStyle name="Calc Units (0)" xfId="1003"/>
    <cellStyle name="Calc Units (1)" xfId="1004"/>
    <cellStyle name="Calc Units (2)" xfId="1005"/>
    <cellStyle name="Calculation" xfId="1006"/>
    <cellStyle name="category" xfId="1007"/>
    <cellStyle name="Cerrency_Sheet2_XANGDAU" xfId="1008"/>
    <cellStyle name="Check Cell" xfId="1009"/>
    <cellStyle name="Chi phÝ kh¸c_Book1" xfId="1010"/>
    <cellStyle name="CHUONG" xfId="1011"/>
    <cellStyle name="Comma" xfId="1012"/>
    <cellStyle name="Comma  - Style1" xfId="1013"/>
    <cellStyle name="Comma  - Style2" xfId="1014"/>
    <cellStyle name="Comma  - Style3" xfId="1015"/>
    <cellStyle name="Comma  - Style4" xfId="1016"/>
    <cellStyle name="Comma  - Style5" xfId="1017"/>
    <cellStyle name="Comma  - Style6" xfId="1018"/>
    <cellStyle name="Comma  - Style7" xfId="1019"/>
    <cellStyle name="Comma  - Style8" xfId="1020"/>
    <cellStyle name="Comma [0]" xfId="1021"/>
    <cellStyle name="Comma [0] 2" xfId="1022"/>
    <cellStyle name="Comma [0] 2 10" xfId="1023"/>
    <cellStyle name="Comma [0] 2 11" xfId="1024"/>
    <cellStyle name="Comma [0] 2 12" xfId="1025"/>
    <cellStyle name="Comma [0] 2 13" xfId="1026"/>
    <cellStyle name="Comma [0] 2 14" xfId="1027"/>
    <cellStyle name="Comma [0] 2 15" xfId="1028"/>
    <cellStyle name="Comma [0] 2 16" xfId="1029"/>
    <cellStyle name="Comma [0] 2 17" xfId="1030"/>
    <cellStyle name="Comma [0] 2 18" xfId="1031"/>
    <cellStyle name="Comma [0] 2 19" xfId="1032"/>
    <cellStyle name="Comma [0] 2 2" xfId="1033"/>
    <cellStyle name="Comma [0] 2 20" xfId="1034"/>
    <cellStyle name="Comma [0] 2 21" xfId="1035"/>
    <cellStyle name="Comma [0] 2 22" xfId="1036"/>
    <cellStyle name="Comma [0] 2 23" xfId="1037"/>
    <cellStyle name="Comma [0] 2 3" xfId="1038"/>
    <cellStyle name="Comma [0] 2 4" xfId="1039"/>
    <cellStyle name="Comma [0] 2 5" xfId="1040"/>
    <cellStyle name="Comma [0] 2 6" xfId="1041"/>
    <cellStyle name="Comma [0] 2 7" xfId="1042"/>
    <cellStyle name="Comma [0] 2 8" xfId="1043"/>
    <cellStyle name="Comma [0] 2 9" xfId="1044"/>
    <cellStyle name="Comma [0] 3" xfId="1045"/>
    <cellStyle name="Comma [0] 3 2" xfId="1046"/>
    <cellStyle name="Comma [0] 4" xfId="1047"/>
    <cellStyle name="Comma [0] 5" xfId="1048"/>
    <cellStyle name="Comma [0] 6" xfId="1049"/>
    <cellStyle name="Comma [00]" xfId="1050"/>
    <cellStyle name="Comma 10" xfId="1051"/>
    <cellStyle name="Comma 10 10" xfId="1052"/>
    <cellStyle name="Comma 10 2" xfId="1053"/>
    <cellStyle name="Comma 10 2 2" xfId="1054"/>
    <cellStyle name="Comma 10 3" xfId="1055"/>
    <cellStyle name="Comma 11" xfId="1056"/>
    <cellStyle name="Comma 11 2" xfId="1057"/>
    <cellStyle name="Comma 12" xfId="1058"/>
    <cellStyle name="Comma 12 2" xfId="1059"/>
    <cellStyle name="Comma 13" xfId="1060"/>
    <cellStyle name="Comma 13 2" xfId="1061"/>
    <cellStyle name="Comma 13 2 2" xfId="1062"/>
    <cellStyle name="Comma 13 2 2 2" xfId="1063"/>
    <cellStyle name="Comma 13 2 2 3" xfId="1064"/>
    <cellStyle name="Comma 13 2 3" xfId="1065"/>
    <cellStyle name="Comma 13 2 3 2" xfId="1066"/>
    <cellStyle name="Comma 13 2 4" xfId="1067"/>
    <cellStyle name="Comma 14" xfId="1068"/>
    <cellStyle name="Comma 14 2" xfId="1069"/>
    <cellStyle name="Comma 15" xfId="1070"/>
    <cellStyle name="Comma 15 2" xfId="1071"/>
    <cellStyle name="Comma 16" xfId="1072"/>
    <cellStyle name="Comma 16 2" xfId="1073"/>
    <cellStyle name="Comma 17" xfId="1074"/>
    <cellStyle name="Comma 18" xfId="1075"/>
    <cellStyle name="Comma 19" xfId="1076"/>
    <cellStyle name="Comma 2" xfId="1077"/>
    <cellStyle name="Comma 2 10" xfId="1078"/>
    <cellStyle name="Comma 2 11" xfId="1079"/>
    <cellStyle name="Comma 2 12" xfId="1080"/>
    <cellStyle name="Comma 2 13" xfId="1081"/>
    <cellStyle name="Comma 2 14" xfId="1082"/>
    <cellStyle name="Comma 2 15" xfId="1083"/>
    <cellStyle name="Comma 2 16" xfId="1084"/>
    <cellStyle name="Comma 2 17" xfId="1085"/>
    <cellStyle name="Comma 2 18" xfId="1086"/>
    <cellStyle name="Comma 2 19" xfId="1087"/>
    <cellStyle name="Comma 2 2" xfId="1088"/>
    <cellStyle name="Comma 2 2 10" xfId="1089"/>
    <cellStyle name="Comma 2 2 11" xfId="1090"/>
    <cellStyle name="Comma 2 2 12" xfId="1091"/>
    <cellStyle name="Comma 2 2 13" xfId="1092"/>
    <cellStyle name="Comma 2 2 14" xfId="1093"/>
    <cellStyle name="Comma 2 2 15" xfId="1094"/>
    <cellStyle name="Comma 2 2 16" xfId="1095"/>
    <cellStyle name="Comma 2 2 17" xfId="1096"/>
    <cellStyle name="Comma 2 2 18" xfId="1097"/>
    <cellStyle name="Comma 2 2 19" xfId="1098"/>
    <cellStyle name="Comma 2 2 2" xfId="1099"/>
    <cellStyle name="Comma 2 2 2 10" xfId="1100"/>
    <cellStyle name="Comma 2 2 2 11" xfId="1101"/>
    <cellStyle name="Comma 2 2 2 12" xfId="1102"/>
    <cellStyle name="Comma 2 2 2 13" xfId="1103"/>
    <cellStyle name="Comma 2 2 2 14" xfId="1104"/>
    <cellStyle name="Comma 2 2 2 15" xfId="1105"/>
    <cellStyle name="Comma 2 2 2 16" xfId="1106"/>
    <cellStyle name="Comma 2 2 2 17" xfId="1107"/>
    <cellStyle name="Comma 2 2 2 18" xfId="1108"/>
    <cellStyle name="Comma 2 2 2 19" xfId="1109"/>
    <cellStyle name="Comma 2 2 2 2" xfId="1110"/>
    <cellStyle name="Comma 2 2 2 20" xfId="1111"/>
    <cellStyle name="Comma 2 2 2 21" xfId="1112"/>
    <cellStyle name="Comma 2 2 2 22" xfId="1113"/>
    <cellStyle name="Comma 2 2 2 23" xfId="1114"/>
    <cellStyle name="Comma 2 2 2 3" xfId="1115"/>
    <cellStyle name="Comma 2 2 2 4" xfId="1116"/>
    <cellStyle name="Comma 2 2 2 5" xfId="1117"/>
    <cellStyle name="Comma 2 2 2 6" xfId="1118"/>
    <cellStyle name="Comma 2 2 2 7" xfId="1119"/>
    <cellStyle name="Comma 2 2 2 8" xfId="1120"/>
    <cellStyle name="Comma 2 2 2 9" xfId="1121"/>
    <cellStyle name="Comma 2 2 20" xfId="1122"/>
    <cellStyle name="Comma 2 2 21" xfId="1123"/>
    <cellStyle name="Comma 2 2 22" xfId="1124"/>
    <cellStyle name="Comma 2 2 23" xfId="1125"/>
    <cellStyle name="Comma 2 2 24" xfId="1126"/>
    <cellStyle name="Comma 2 2 25" xfId="1127"/>
    <cellStyle name="Comma 2 2 3" xfId="1128"/>
    <cellStyle name="Comma 2 2 4" xfId="1129"/>
    <cellStyle name="Comma 2 2 5" xfId="1130"/>
    <cellStyle name="Comma 2 2 6" xfId="1131"/>
    <cellStyle name="Comma 2 2 7" xfId="1132"/>
    <cellStyle name="Comma 2 2 8" xfId="1133"/>
    <cellStyle name="Comma 2 2 9" xfId="1134"/>
    <cellStyle name="Comma 2 20" xfId="1135"/>
    <cellStyle name="Comma 2 21" xfId="1136"/>
    <cellStyle name="Comma 2 22" xfId="1137"/>
    <cellStyle name="Comma 2 23" xfId="1138"/>
    <cellStyle name="Comma 2 24" xfId="1139"/>
    <cellStyle name="Comma 2 25" xfId="1140"/>
    <cellStyle name="Comma 2 26" xfId="1141"/>
    <cellStyle name="Comma 2 27" xfId="1142"/>
    <cellStyle name="Comma 2 3" xfId="1143"/>
    <cellStyle name="Comma 2 3 2" xfId="1144"/>
    <cellStyle name="Comma 2 4" xfId="1145"/>
    <cellStyle name="Comma 2 48" xfId="1146"/>
    <cellStyle name="Comma 2 5" xfId="1147"/>
    <cellStyle name="Comma 2 6" xfId="1148"/>
    <cellStyle name="Comma 2 7" xfId="1149"/>
    <cellStyle name="Comma 2 8" xfId="1150"/>
    <cellStyle name="Comma 2 9" xfId="1151"/>
    <cellStyle name="Comma 2_Bac Giang" xfId="1152"/>
    <cellStyle name="Comma 20" xfId="1153"/>
    <cellStyle name="Comma 21" xfId="1154"/>
    <cellStyle name="Comma 22" xfId="1155"/>
    <cellStyle name="Comma 23" xfId="1156"/>
    <cellStyle name="Comma 24" xfId="1157"/>
    <cellStyle name="Comma 25" xfId="1158"/>
    <cellStyle name="Comma 26" xfId="1159"/>
    <cellStyle name="Comma 27" xfId="1160"/>
    <cellStyle name="Comma 28" xfId="1161"/>
    <cellStyle name="Comma 28 2" xfId="1162"/>
    <cellStyle name="Comma 28 3" xfId="1163"/>
    <cellStyle name="Comma 28 4" xfId="1164"/>
    <cellStyle name="Comma 29" xfId="1165"/>
    <cellStyle name="Comma 29 2" xfId="1166"/>
    <cellStyle name="Comma 3" xfId="1167"/>
    <cellStyle name="Comma 3 2" xfId="1168"/>
    <cellStyle name="Comma 3 2 2" xfId="1169"/>
    <cellStyle name="Comma 3 2 2 2" xfId="1170"/>
    <cellStyle name="Comma 3 2 3" xfId="1171"/>
    <cellStyle name="Comma 3 2 4" xfId="1172"/>
    <cellStyle name="Comma 3 3" xfId="1173"/>
    <cellStyle name="Comma 3 3 2" xfId="1174"/>
    <cellStyle name="Comma 3 3 3" xfId="1175"/>
    <cellStyle name="Comma 3 4" xfId="1176"/>
    <cellStyle name="Comma 30" xfId="1177"/>
    <cellStyle name="Comma 31" xfId="1178"/>
    <cellStyle name="Comma 31 2" xfId="1179"/>
    <cellStyle name="Comma 32" xfId="1180"/>
    <cellStyle name="Comma 33" xfId="1181"/>
    <cellStyle name="Comma 34" xfId="1182"/>
    <cellStyle name="Comma 35" xfId="1183"/>
    <cellStyle name="Comma 36" xfId="1184"/>
    <cellStyle name="Comma 37" xfId="1185"/>
    <cellStyle name="Comma 38" xfId="1186"/>
    <cellStyle name="Comma 39" xfId="1187"/>
    <cellStyle name="Comma 4" xfId="1188"/>
    <cellStyle name="Comma 4 2" xfId="1189"/>
    <cellStyle name="Comma 4 2 2" xfId="1190"/>
    <cellStyle name="Comma 4 3" xfId="1191"/>
    <cellStyle name="Comma 4 4" xfId="1192"/>
    <cellStyle name="Comma 4 5" xfId="1193"/>
    <cellStyle name="Comma 4 6" xfId="1194"/>
    <cellStyle name="Comma 4_THEO DOI THUC HIEN (GỐC 1)" xfId="1195"/>
    <cellStyle name="Comma 40" xfId="1196"/>
    <cellStyle name="Comma 41" xfId="1197"/>
    <cellStyle name="Comma 42" xfId="1198"/>
    <cellStyle name="Comma 43" xfId="1199"/>
    <cellStyle name="Comma 44" xfId="1200"/>
    <cellStyle name="Comma 45" xfId="1201"/>
    <cellStyle name="Comma 46" xfId="1202"/>
    <cellStyle name="Comma 47" xfId="1203"/>
    <cellStyle name="Comma 48" xfId="1204"/>
    <cellStyle name="Comma 49" xfId="1205"/>
    <cellStyle name="Comma 5" xfId="1206"/>
    <cellStyle name="Comma 5 2" xfId="1207"/>
    <cellStyle name="Comma 5 3" xfId="1208"/>
    <cellStyle name="Comma 5 4" xfId="1209"/>
    <cellStyle name="Comma 5_Bieu6(JICA)" xfId="1210"/>
    <cellStyle name="Comma 50" xfId="1211"/>
    <cellStyle name="Comma 51" xfId="1212"/>
    <cellStyle name="Comma 52" xfId="1213"/>
    <cellStyle name="Comma 53" xfId="1214"/>
    <cellStyle name="Comma 54" xfId="1215"/>
    <cellStyle name="Comma 55" xfId="1216"/>
    <cellStyle name="Comma 56" xfId="1217"/>
    <cellStyle name="Comma 57" xfId="1218"/>
    <cellStyle name="Comma 57 2" xfId="1219"/>
    <cellStyle name="Comma 58" xfId="1220"/>
    <cellStyle name="Comma 58 2" xfId="1221"/>
    <cellStyle name="Comma 59" xfId="1222"/>
    <cellStyle name="Comma 6" xfId="1223"/>
    <cellStyle name="Comma 6 2" xfId="1224"/>
    <cellStyle name="Comma 6 2 2" xfId="1225"/>
    <cellStyle name="Comma 6 3" xfId="1226"/>
    <cellStyle name="Comma 60" xfId="1227"/>
    <cellStyle name="Comma 61" xfId="1228"/>
    <cellStyle name="Comma 62" xfId="1229"/>
    <cellStyle name="Comma 63" xfId="1230"/>
    <cellStyle name="Comma 64" xfId="1231"/>
    <cellStyle name="Comma 64 2" xfId="1232"/>
    <cellStyle name="Comma 64 3" xfId="1233"/>
    <cellStyle name="Comma 65" xfId="1234"/>
    <cellStyle name="Comma 66" xfId="1235"/>
    <cellStyle name="Comma 67" xfId="1236"/>
    <cellStyle name="Comma 68" xfId="1237"/>
    <cellStyle name="Comma 69" xfId="1238"/>
    <cellStyle name="Comma 7" xfId="1239"/>
    <cellStyle name="Comma 7 2" xfId="1240"/>
    <cellStyle name="Comma 8" xfId="1241"/>
    <cellStyle name="Comma 8 2" xfId="1242"/>
    <cellStyle name="Comma 8 2 2" xfId="1243"/>
    <cellStyle name="Comma 9" xfId="1244"/>
    <cellStyle name="Comma 9 2" xfId="1245"/>
    <cellStyle name="Comma 9 2 2" xfId="1246"/>
    <cellStyle name="Comma 9 3" xfId="1247"/>
    <cellStyle name="Comma 9 4" xfId="1248"/>
    <cellStyle name="comma zerodec" xfId="1249"/>
    <cellStyle name="Comma0" xfId="1250"/>
    <cellStyle name="cong" xfId="1251"/>
    <cellStyle name="Copied" xfId="1252"/>
    <cellStyle name="Co聭ma_Sheet1" xfId="1253"/>
    <cellStyle name="Cࡵrrency_Sheet1_PRODUCTĠ" xfId="1254"/>
    <cellStyle name="Curråncy [0]_FCST_RESULTS" xfId="1255"/>
    <cellStyle name="Currency" xfId="1256"/>
    <cellStyle name="Currency [0]" xfId="1257"/>
    <cellStyle name="Currency [0]ßmud plant bolted_RESULTS" xfId="1258"/>
    <cellStyle name="Currency [00]" xfId="1259"/>
    <cellStyle name="Currency 2" xfId="1260"/>
    <cellStyle name="Currency 3" xfId="1261"/>
    <cellStyle name="Currency 4" xfId="1262"/>
    <cellStyle name="Currency 5" xfId="1263"/>
    <cellStyle name="Currency![0]_FCSt (2)" xfId="1264"/>
    <cellStyle name="Currency0" xfId="1265"/>
    <cellStyle name="Currency1" xfId="1266"/>
    <cellStyle name="D1" xfId="1267"/>
    <cellStyle name="Date" xfId="1268"/>
    <cellStyle name="Date Short" xfId="1269"/>
    <cellStyle name="Date_Book1" xfId="1270"/>
    <cellStyle name="Dấu_phảy 2" xfId="1271"/>
    <cellStyle name="DAUDE" xfId="1272"/>
    <cellStyle name="Dezimal [0]_35ERI8T2gbIEMixb4v26icuOo" xfId="1273"/>
    <cellStyle name="Dezimal_35ERI8T2gbIEMixb4v26icuOo" xfId="1274"/>
    <cellStyle name="Dg" xfId="1275"/>
    <cellStyle name="Dgia" xfId="1276"/>
    <cellStyle name="Dgia 2" xfId="1277"/>
    <cellStyle name="Dollar (zero dec)" xfId="1278"/>
    <cellStyle name="Don gia" xfId="1279"/>
    <cellStyle name="Dziesi?tny [0]_Invoices2001Slovakia" xfId="1280"/>
    <cellStyle name="Dziesi?tny_Invoices2001Slovakia" xfId="1281"/>
    <cellStyle name="Dziesietny [0]_Invoices2001Slovakia" xfId="1282"/>
    <cellStyle name="Dziesiętny [0]_Invoices2001Slovakia" xfId="1283"/>
    <cellStyle name="Dziesietny [0]_Invoices2001Slovakia_01_Nha so 1_Dien" xfId="1284"/>
    <cellStyle name="Dziesiętny [0]_Invoices2001Slovakia_01_Nha so 1_Dien" xfId="1285"/>
    <cellStyle name="Dziesietny [0]_Invoices2001Slovakia_10_Nha so 10_Dien1" xfId="1286"/>
    <cellStyle name="Dziesiętny [0]_Invoices2001Slovakia_10_Nha so 10_Dien1" xfId="1287"/>
    <cellStyle name="Dziesietny [0]_Invoices2001Slovakia_Book1" xfId="1288"/>
    <cellStyle name="Dziesiętny [0]_Invoices2001Slovakia_Book1" xfId="1289"/>
    <cellStyle name="Dziesietny [0]_Invoices2001Slovakia_Book1_1" xfId="1290"/>
    <cellStyle name="Dziesiętny [0]_Invoices2001Slovakia_Book1_1" xfId="1291"/>
    <cellStyle name="Dziesietny [0]_Invoices2001Slovakia_Book1_1_Book1" xfId="1292"/>
    <cellStyle name="Dziesiętny [0]_Invoices2001Slovakia_Book1_1_Book1" xfId="1293"/>
    <cellStyle name="Dziesietny [0]_Invoices2001Slovakia_Book1_2" xfId="1294"/>
    <cellStyle name="Dziesiętny [0]_Invoices2001Slovakia_Book1_2" xfId="1295"/>
    <cellStyle name="Dziesietny [0]_Invoices2001Slovakia_Book1_Nhu cau von ung truoc 2011 Tha h Hoa + Nge An gui TW" xfId="1296"/>
    <cellStyle name="Dziesiętny [0]_Invoices2001Slovakia_Book1_Nhu cau von ung truoc 2011 Tha h Hoa + Nge An gui TW" xfId="1297"/>
    <cellStyle name="Dziesietny [0]_Invoices2001Slovakia_Book1_Tong hop Cac tuyen(9-1-06)" xfId="1298"/>
    <cellStyle name="Dziesiętny [0]_Invoices2001Slovakia_Book1_Tong hop Cac tuyen(9-1-06)" xfId="1299"/>
    <cellStyle name="Dziesietny [0]_Invoices2001Slovakia_Book1_ung truoc 2011 NSTW Thanh Hoa + Nge An gui Thu 12-5" xfId="1300"/>
    <cellStyle name="Dziesiętny [0]_Invoices2001Slovakia_Book1_ung truoc 2011 NSTW Thanh Hoa + Nge An gui Thu 12-5" xfId="1301"/>
    <cellStyle name="Dziesietny [0]_Invoices2001Slovakia_d-uong+TDT" xfId="1302"/>
    <cellStyle name="Dziesiętny [0]_Invoices2001Slovakia_Nhµ ®Ó xe" xfId="1303"/>
    <cellStyle name="Dziesietny [0]_Invoices2001Slovakia_Nha bao ve(28-7-05)" xfId="1304"/>
    <cellStyle name="Dziesiętny [0]_Invoices2001Slovakia_Nha bao ve(28-7-05)" xfId="1305"/>
    <cellStyle name="Dziesietny [0]_Invoices2001Slovakia_NHA de xe nguyen du" xfId="1306"/>
    <cellStyle name="Dziesiętny [0]_Invoices2001Slovakia_NHA de xe nguyen du" xfId="1307"/>
    <cellStyle name="Dziesietny [0]_Invoices2001Slovakia_Nhalamviec VTC(25-1-05)" xfId="1308"/>
    <cellStyle name="Dziesiętny [0]_Invoices2001Slovakia_Nhalamviec VTC(25-1-05)" xfId="1309"/>
    <cellStyle name="Dziesietny [0]_Invoices2001Slovakia_Nhu cau von ung truoc 2011 Tha h Hoa + Nge An gui TW" xfId="1310"/>
    <cellStyle name="Dziesiętny [0]_Invoices2001Slovakia_TDT KHANH HOA" xfId="1311"/>
    <cellStyle name="Dziesietny [0]_Invoices2001Slovakia_TDT KHANH HOA_Tong hop Cac tuyen(9-1-06)" xfId="1312"/>
    <cellStyle name="Dziesiętny [0]_Invoices2001Slovakia_TDT KHANH HOA_Tong hop Cac tuyen(9-1-06)" xfId="1313"/>
    <cellStyle name="Dziesietny [0]_Invoices2001Slovakia_TDT quangngai" xfId="1314"/>
    <cellStyle name="Dziesiętny [0]_Invoices2001Slovakia_TDT quangngai" xfId="1315"/>
    <cellStyle name="Dziesietny [0]_Invoices2001Slovakia_TMDT(10-5-06)" xfId="1316"/>
    <cellStyle name="Dziesietny_Invoices2001Slovakia" xfId="1317"/>
    <cellStyle name="Dziesiętny_Invoices2001Slovakia" xfId="1318"/>
    <cellStyle name="Dziesietny_Invoices2001Slovakia_01_Nha so 1_Dien" xfId="1319"/>
    <cellStyle name="Dziesiętny_Invoices2001Slovakia_01_Nha so 1_Dien" xfId="1320"/>
    <cellStyle name="Dziesietny_Invoices2001Slovakia_10_Nha so 10_Dien1" xfId="1321"/>
    <cellStyle name="Dziesiętny_Invoices2001Slovakia_10_Nha so 10_Dien1" xfId="1322"/>
    <cellStyle name="Dziesietny_Invoices2001Slovakia_Book1" xfId="1323"/>
    <cellStyle name="Dziesiętny_Invoices2001Slovakia_Book1" xfId="1324"/>
    <cellStyle name="Dziesietny_Invoices2001Slovakia_Book1_1" xfId="1325"/>
    <cellStyle name="Dziesiętny_Invoices2001Slovakia_Book1_1" xfId="1326"/>
    <cellStyle name="Dziesietny_Invoices2001Slovakia_Book1_1_Book1" xfId="1327"/>
    <cellStyle name="Dziesiętny_Invoices2001Slovakia_Book1_1_Book1" xfId="1328"/>
    <cellStyle name="Dziesietny_Invoices2001Slovakia_Book1_2" xfId="1329"/>
    <cellStyle name="Dziesiętny_Invoices2001Slovakia_Book1_2" xfId="1330"/>
    <cellStyle name="Dziesietny_Invoices2001Slovakia_Book1_Nhu cau von ung truoc 2011 Tha h Hoa + Nge An gui TW" xfId="1331"/>
    <cellStyle name="Dziesiętny_Invoices2001Slovakia_Book1_Nhu cau von ung truoc 2011 Tha h Hoa + Nge An gui TW" xfId="1332"/>
    <cellStyle name="Dziesietny_Invoices2001Slovakia_Book1_Tong hop Cac tuyen(9-1-06)" xfId="1333"/>
    <cellStyle name="Dziesiętny_Invoices2001Slovakia_Book1_Tong hop Cac tuyen(9-1-06)" xfId="1334"/>
    <cellStyle name="Dziesietny_Invoices2001Slovakia_Book1_ung truoc 2011 NSTW Thanh Hoa + Nge An gui Thu 12-5" xfId="1335"/>
    <cellStyle name="Dziesiętny_Invoices2001Slovakia_Book1_ung truoc 2011 NSTW Thanh Hoa + Nge An gui Thu 12-5" xfId="1336"/>
    <cellStyle name="Dziesietny_Invoices2001Slovakia_d-uong+TDT" xfId="1337"/>
    <cellStyle name="Dziesiętny_Invoices2001Slovakia_Nhµ ®Ó xe" xfId="1338"/>
    <cellStyle name="Dziesietny_Invoices2001Slovakia_Nha bao ve(28-7-05)" xfId="1339"/>
    <cellStyle name="Dziesiętny_Invoices2001Slovakia_Nha bao ve(28-7-05)" xfId="1340"/>
    <cellStyle name="Dziesietny_Invoices2001Slovakia_NHA de xe nguyen du" xfId="1341"/>
    <cellStyle name="Dziesiętny_Invoices2001Slovakia_NHA de xe nguyen du" xfId="1342"/>
    <cellStyle name="Dziesietny_Invoices2001Slovakia_Nhalamviec VTC(25-1-05)" xfId="1343"/>
    <cellStyle name="Dziesiętny_Invoices2001Slovakia_Nhalamviec VTC(25-1-05)" xfId="1344"/>
    <cellStyle name="Dziesietny_Invoices2001Slovakia_Nhu cau von ung truoc 2011 Tha h Hoa + Nge An gui TW" xfId="1345"/>
    <cellStyle name="Dziesiętny_Invoices2001Slovakia_TDT KHANH HOA" xfId="1346"/>
    <cellStyle name="Dziesietny_Invoices2001Slovakia_TDT KHANH HOA_Tong hop Cac tuyen(9-1-06)" xfId="1347"/>
    <cellStyle name="Dziesiętny_Invoices2001Slovakia_TDT KHANH HOA_Tong hop Cac tuyen(9-1-06)" xfId="1348"/>
    <cellStyle name="Dziesietny_Invoices2001Slovakia_TDT quangngai" xfId="1349"/>
    <cellStyle name="Dziesiętny_Invoices2001Slovakia_TDT quangngai" xfId="1350"/>
    <cellStyle name="Dziesietny_Invoices2001Slovakia_TMDT(10-5-06)" xfId="1351"/>
    <cellStyle name="e" xfId="1352"/>
    <cellStyle name="Enter Currency (0)" xfId="1353"/>
    <cellStyle name="Enter Currency (2)" xfId="1354"/>
    <cellStyle name="Enter Units (0)" xfId="1355"/>
    <cellStyle name="Enter Units (1)" xfId="1356"/>
    <cellStyle name="Enter Units (2)" xfId="1357"/>
    <cellStyle name="Entered" xfId="1358"/>
    <cellStyle name="Euro" xfId="1359"/>
    <cellStyle name="Explanatory Text" xfId="1360"/>
    <cellStyle name="f" xfId="1361"/>
    <cellStyle name="f_Danhmuc_Quyhoach2009" xfId="1362"/>
    <cellStyle name="f_Danhmuc_Quyhoach2009 2" xfId="1363"/>
    <cellStyle name="f_Danhmuc_Quyhoach2009 2 2" xfId="1364"/>
    <cellStyle name="Fixed" xfId="1365"/>
    <cellStyle name="Followed Hyperlink" xfId="1366"/>
    <cellStyle name="gia" xfId="1367"/>
    <cellStyle name="Good" xfId="1368"/>
    <cellStyle name="Good 2" xfId="1369"/>
    <cellStyle name="Grey" xfId="1370"/>
    <cellStyle name="Group" xfId="1371"/>
    <cellStyle name="H" xfId="1372"/>
    <cellStyle name="ha" xfId="1373"/>
    <cellStyle name="HAI" xfId="1374"/>
    <cellStyle name="Head 1" xfId="1375"/>
    <cellStyle name="HEADER" xfId="1376"/>
    <cellStyle name="Header1" xfId="1377"/>
    <cellStyle name="Header1 2" xfId="1378"/>
    <cellStyle name="Header2" xfId="1379"/>
    <cellStyle name="Header2 2" xfId="1380"/>
    <cellStyle name="Heading 1" xfId="1381"/>
    <cellStyle name="Heading 2" xfId="1382"/>
    <cellStyle name="Heading 3" xfId="1383"/>
    <cellStyle name="Heading 4" xfId="1384"/>
    <cellStyle name="HEADING1" xfId="1385"/>
    <cellStyle name="HEADING2" xfId="1386"/>
    <cellStyle name="HEADINGS" xfId="1387"/>
    <cellStyle name="HEADINGSTOP" xfId="1388"/>
    <cellStyle name="headoption" xfId="1389"/>
    <cellStyle name="headoption 2" xfId="1390"/>
    <cellStyle name="Hoa-Scholl" xfId="1391"/>
    <cellStyle name="Hoa-Scholl 2" xfId="1392"/>
    <cellStyle name="HUY" xfId="1393"/>
    <cellStyle name="Hyperlink" xfId="1394"/>
    <cellStyle name="i phÝ kh¸c_B¶ng 2" xfId="1395"/>
    <cellStyle name="I.3" xfId="1396"/>
    <cellStyle name="i·0" xfId="1397"/>
    <cellStyle name="ï-¾È»ê_BiÓu TB" xfId="1398"/>
    <cellStyle name="Input" xfId="1399"/>
    <cellStyle name="Input [yellow]" xfId="1400"/>
    <cellStyle name="Input [yellow] 2" xfId="1401"/>
    <cellStyle name="k_TONG HOP KINH PHI" xfId="1402"/>
    <cellStyle name="k_TONG HOP KINH PHI_!1 1 bao cao giao KH ve HTCMT vung TNB   12-12-2011" xfId="1403"/>
    <cellStyle name="k_TONG HOP KINH PHI_Bieu4HTMT" xfId="1404"/>
    <cellStyle name="k_TONG HOP KINH PHI_Bieu4HTMT_!1 1 bao cao giao KH ve HTCMT vung TNB   12-12-2011" xfId="1405"/>
    <cellStyle name="k_TONG HOP KINH PHI_Bieu4HTMT_KH TPCP vung TNB (03-1-2012)" xfId="1406"/>
    <cellStyle name="k_TONG HOP KINH PHI_KH TPCP vung TNB (03-1-2012)" xfId="1407"/>
    <cellStyle name="k_ÿÿÿÿÿ" xfId="1408"/>
    <cellStyle name="k_ÿÿÿÿÿ_!1 1 bao cao giao KH ve HTCMT vung TNB   12-12-2011" xfId="1409"/>
    <cellStyle name="k_ÿÿÿÿÿ_1" xfId="1410"/>
    <cellStyle name="k_ÿÿÿÿÿ_2" xfId="1411"/>
    <cellStyle name="k_ÿÿÿÿÿ_2_!1 1 bao cao giao KH ve HTCMT vung TNB   12-12-2011" xfId="1412"/>
    <cellStyle name="k_ÿÿÿÿÿ_2_Bieu4HTMT" xfId="1413"/>
    <cellStyle name="k_ÿÿÿÿÿ_2_Bieu4HTMT_!1 1 bao cao giao KH ve HTCMT vung TNB   12-12-2011" xfId="1414"/>
    <cellStyle name="k_ÿÿÿÿÿ_2_Bieu4HTMT_KH TPCP vung TNB (03-1-2012)" xfId="1415"/>
    <cellStyle name="k_ÿÿÿÿÿ_2_KH TPCP vung TNB (03-1-2012)" xfId="1416"/>
    <cellStyle name="k_ÿÿÿÿÿ_Bieu4HTMT" xfId="1417"/>
    <cellStyle name="k_ÿÿÿÿÿ_Bieu4HTMT_!1 1 bao cao giao KH ve HTCMT vung TNB   12-12-2011" xfId="1418"/>
    <cellStyle name="k_ÿÿÿÿÿ_Bieu4HTMT_KH TPCP vung TNB (03-1-2012)" xfId="1419"/>
    <cellStyle name="k_ÿÿÿÿÿ_KH TPCP vung TNB (03-1-2012)" xfId="1420"/>
    <cellStyle name="kh¸c_Bang Chi tieu" xfId="1421"/>
    <cellStyle name="khanh" xfId="1422"/>
    <cellStyle name="khung" xfId="1423"/>
    <cellStyle name="Kiểu 1" xfId="1424"/>
    <cellStyle name="Ledger 17 x 11 in" xfId="1425"/>
    <cellStyle name="left" xfId="1426"/>
    <cellStyle name="Line" xfId="1427"/>
    <cellStyle name="Link Currency (0)" xfId="1428"/>
    <cellStyle name="Link Currency (2)" xfId="1429"/>
    <cellStyle name="Link Units (0)" xfId="1430"/>
    <cellStyle name="Link Units (1)" xfId="1431"/>
    <cellStyle name="Link Units (2)" xfId="1432"/>
    <cellStyle name="Linked Cell" xfId="1433"/>
    <cellStyle name="Loai CBDT" xfId="1434"/>
    <cellStyle name="Loai CT" xfId="1435"/>
    <cellStyle name="Loai GD" xfId="1436"/>
    <cellStyle name="MAU" xfId="1437"/>
    <cellStyle name="MAU 2" xfId="1438"/>
    <cellStyle name="Millares [0]_Well Timing" xfId="1439"/>
    <cellStyle name="Millares_Well Timing" xfId="1440"/>
    <cellStyle name="Milliers [0]_      " xfId="1441"/>
    <cellStyle name="Milliers_      " xfId="1442"/>
    <cellStyle name="Model" xfId="1443"/>
    <cellStyle name="moi" xfId="1444"/>
    <cellStyle name="moi 2" xfId="1445"/>
    <cellStyle name="Moneda [0]_Well Timing" xfId="1446"/>
    <cellStyle name="Moneda_Well Timing" xfId="1447"/>
    <cellStyle name="Monétaire [0]_      " xfId="1448"/>
    <cellStyle name="Monétaire_      " xfId="1449"/>
    <cellStyle name="n" xfId="1450"/>
    <cellStyle name="Neutral" xfId="1451"/>
    <cellStyle name="Neutral 2" xfId="1452"/>
    <cellStyle name="New Times Roman" xfId="1453"/>
    <cellStyle name="nga" xfId="1454"/>
    <cellStyle name="no dec" xfId="1455"/>
    <cellStyle name="ÑONVÒ" xfId="1456"/>
    <cellStyle name="ÑONVÒ 2" xfId="1457"/>
    <cellStyle name="Normal - Style1" xfId="1458"/>
    <cellStyle name="Normal - Style1 2" xfId="1459"/>
    <cellStyle name="Normal - Style1 2 2" xfId="1460"/>
    <cellStyle name="Normal - 유형1" xfId="1461"/>
    <cellStyle name="Normal 10" xfId="1462"/>
    <cellStyle name="Normal 10 2" xfId="1463"/>
    <cellStyle name="Normal 10 2 2" xfId="1464"/>
    <cellStyle name="Normal 11" xfId="1465"/>
    <cellStyle name="Normal 12" xfId="1466"/>
    <cellStyle name="Normal 12 2" xfId="1467"/>
    <cellStyle name="Normal 13" xfId="1468"/>
    <cellStyle name="Normal 14" xfId="1469"/>
    <cellStyle name="Normal 14 2" xfId="1470"/>
    <cellStyle name="Normal 14 3" xfId="1471"/>
    <cellStyle name="Normal 14 4" xfId="1472"/>
    <cellStyle name="Normal 15" xfId="1473"/>
    <cellStyle name="Normal 16" xfId="1474"/>
    <cellStyle name="Normal 16 2" xfId="1475"/>
    <cellStyle name="Normal 17" xfId="1476"/>
    <cellStyle name="Normal 17 2" xfId="1477"/>
    <cellStyle name="Normal 18" xfId="1478"/>
    <cellStyle name="Normal 18 2" xfId="1479"/>
    <cellStyle name="Normal 18 3" xfId="1480"/>
    <cellStyle name="Normal 19" xfId="1481"/>
    <cellStyle name="Normal 19 2" xfId="1482"/>
    <cellStyle name="Normal 19 3" xfId="1483"/>
    <cellStyle name="Normal 2" xfId="1484"/>
    <cellStyle name="Normal 2 10" xfId="1485"/>
    <cellStyle name="Normal 2 11" xfId="1486"/>
    <cellStyle name="Normal 2 12" xfId="1487"/>
    <cellStyle name="Normal 2 13" xfId="1488"/>
    <cellStyle name="Normal 2 14" xfId="1489"/>
    <cellStyle name="Normal 2 14 2" xfId="1490"/>
    <cellStyle name="Normal 2 15" xfId="1491"/>
    <cellStyle name="Normal 2 16" xfId="1492"/>
    <cellStyle name="Normal 2 17" xfId="1493"/>
    <cellStyle name="Normal 2 18" xfId="1494"/>
    <cellStyle name="Normal 2 19" xfId="1495"/>
    <cellStyle name="Normal 2 2" xfId="1496"/>
    <cellStyle name="Normal 2 2 2" xfId="1497"/>
    <cellStyle name="Normal 2 2 2 2" xfId="1498"/>
    <cellStyle name="Normal 2 2 2 3" xfId="1499"/>
    <cellStyle name="Normal 2 2 3" xfId="1500"/>
    <cellStyle name="Normal 2 2 4" xfId="1501"/>
    <cellStyle name="Normal 2 2 4 2" xfId="1502"/>
    <cellStyle name="Normal 2 2_Bieu giao TTg" xfId="1503"/>
    <cellStyle name="Normal 2 20" xfId="1504"/>
    <cellStyle name="Normal 2 21" xfId="1505"/>
    <cellStyle name="Normal 2 22" xfId="1506"/>
    <cellStyle name="Normal 2 23" xfId="1507"/>
    <cellStyle name="Normal 2 24" xfId="1508"/>
    <cellStyle name="Normal 2 25" xfId="1509"/>
    <cellStyle name="Normal 2 26" xfId="1510"/>
    <cellStyle name="Normal 2 27" xfId="1511"/>
    <cellStyle name="Normal 2 28" xfId="1512"/>
    <cellStyle name="Normal 2 29" xfId="1513"/>
    <cellStyle name="Normal 2 3" xfId="1514"/>
    <cellStyle name="Normal 2 3 2" xfId="1515"/>
    <cellStyle name="Normal 2 3 3" xfId="1516"/>
    <cellStyle name="Normal 2 3_74847_80640" xfId="1517"/>
    <cellStyle name="Normal 2 30" xfId="1518"/>
    <cellStyle name="Normal 2 31" xfId="1519"/>
    <cellStyle name="Normal 2 32" xfId="1520"/>
    <cellStyle name="Normal 2 33" xfId="1521"/>
    <cellStyle name="Normal 2 34" xfId="1522"/>
    <cellStyle name="Normal 2 35" xfId="1523"/>
    <cellStyle name="Normal 2 36" xfId="1524"/>
    <cellStyle name="Normal 2 37" xfId="1525"/>
    <cellStyle name="Normal 2 38" xfId="1526"/>
    <cellStyle name="Normal 2 39" xfId="1527"/>
    <cellStyle name="Normal 2 4" xfId="1528"/>
    <cellStyle name="Normal 2 4 2" xfId="1529"/>
    <cellStyle name="Normal 2 4 3" xfId="1530"/>
    <cellStyle name="Normal 2 40" xfId="1531"/>
    <cellStyle name="Normal 2 41" xfId="1532"/>
    <cellStyle name="Normal 2 42" xfId="1533"/>
    <cellStyle name="Normal 2 43" xfId="1534"/>
    <cellStyle name="Normal 2 44" xfId="1535"/>
    <cellStyle name="Normal 2 45" xfId="1536"/>
    <cellStyle name="Normal 2 46" xfId="1537"/>
    <cellStyle name="Normal 2 47" xfId="1538"/>
    <cellStyle name="Normal 2 48" xfId="1539"/>
    <cellStyle name="Normal 2 49" xfId="1540"/>
    <cellStyle name="Normal 2 5" xfId="1541"/>
    <cellStyle name="Normal 2 50" xfId="1542"/>
    <cellStyle name="Normal 2 51" xfId="1543"/>
    <cellStyle name="Normal 2 52" xfId="1544"/>
    <cellStyle name="Normal 2 53" xfId="1545"/>
    <cellStyle name="Normal 2 54" xfId="1546"/>
    <cellStyle name="Normal 2 6" xfId="1547"/>
    <cellStyle name="Normal 2 7" xfId="1548"/>
    <cellStyle name="Normal 2 8" xfId="1549"/>
    <cellStyle name="Normal 2 9" xfId="1550"/>
    <cellStyle name="Normal 2_6a. Bieu Trung tam 05 06 chuyen doi hinh thuc dau tu" xfId="1551"/>
    <cellStyle name="Normal 20" xfId="1552"/>
    <cellStyle name="Normal 20 2" xfId="1553"/>
    <cellStyle name="Normal 21" xfId="1554"/>
    <cellStyle name="Normal 21 2" xfId="1555"/>
    <cellStyle name="Normal 22" xfId="1556"/>
    <cellStyle name="Normal 22 2" xfId="1557"/>
    <cellStyle name="Normal 23" xfId="1558"/>
    <cellStyle name="Normal 23 2" xfId="1559"/>
    <cellStyle name="Normal 24" xfId="1560"/>
    <cellStyle name="Normal 24 2" xfId="1561"/>
    <cellStyle name="Normal 25" xfId="1562"/>
    <cellStyle name="Normal 25 2" xfId="1563"/>
    <cellStyle name="Normal 26" xfId="1564"/>
    <cellStyle name="Normal 26 2" xfId="1565"/>
    <cellStyle name="Normal 27" xfId="1566"/>
    <cellStyle name="Normal 27 2" xfId="1567"/>
    <cellStyle name="Normal 27 3" xfId="1568"/>
    <cellStyle name="Normal 28" xfId="1569"/>
    <cellStyle name="Normal 28 2" xfId="1570"/>
    <cellStyle name="Normal 29" xfId="1571"/>
    <cellStyle name="Normal 29 2" xfId="1572"/>
    <cellStyle name="Normal 3" xfId="1573"/>
    <cellStyle name="Normal 3 2" xfId="1574"/>
    <cellStyle name="Normal 3 2 2" xfId="1575"/>
    <cellStyle name="Normal 3 2 2 2" xfId="1576"/>
    <cellStyle name="Normal 3 2 2_BieuMauKH" xfId="1577"/>
    <cellStyle name="Normal 3 2 3" xfId="1578"/>
    <cellStyle name="Normal 3 2_BieuMauKH" xfId="1579"/>
    <cellStyle name="Normal 3 3" xfId="1580"/>
    <cellStyle name="Normal 3 8" xfId="1581"/>
    <cellStyle name="Normal 3_Bieu TH TPCP Vung TNB ngay 4-1-2012" xfId="1582"/>
    <cellStyle name="Normal 30" xfId="1583"/>
    <cellStyle name="Normal 30 2" xfId="1584"/>
    <cellStyle name="Normal 31" xfId="1585"/>
    <cellStyle name="Normal 31 2" xfId="1586"/>
    <cellStyle name="Normal 32" xfId="1587"/>
    <cellStyle name="Normal 33" xfId="1588"/>
    <cellStyle name="Normal 34" xfId="1589"/>
    <cellStyle name="Normal 35" xfId="1590"/>
    <cellStyle name="Normal 36" xfId="1591"/>
    <cellStyle name="Normal 37" xfId="1592"/>
    <cellStyle name="Normal 38" xfId="1593"/>
    <cellStyle name="Normal 39" xfId="1594"/>
    <cellStyle name="Normal 4" xfId="1595"/>
    <cellStyle name="Normal 4 2" xfId="1596"/>
    <cellStyle name="Normal 4 3" xfId="1597"/>
    <cellStyle name="Normal 4_57907_63310(1)" xfId="1598"/>
    <cellStyle name="Normal 40" xfId="1599"/>
    <cellStyle name="Normal 41" xfId="1600"/>
    <cellStyle name="Normal 42" xfId="1601"/>
    <cellStyle name="Normal 43" xfId="1602"/>
    <cellStyle name="Normal 44" xfId="1603"/>
    <cellStyle name="Normal 45" xfId="1604"/>
    <cellStyle name="Normal 46" xfId="1605"/>
    <cellStyle name="Normal 47" xfId="1606"/>
    <cellStyle name="Normal 48" xfId="1607"/>
    <cellStyle name="Normal 49" xfId="1608"/>
    <cellStyle name="Normal 5" xfId="1609"/>
    <cellStyle name="Normal 5 2" xfId="1610"/>
    <cellStyle name="Normal 5 3" xfId="1611"/>
    <cellStyle name="Normal 50" xfId="1612"/>
    <cellStyle name="Normal 51" xfId="1613"/>
    <cellStyle name="Normal 52" xfId="1614"/>
    <cellStyle name="Normal 53" xfId="1615"/>
    <cellStyle name="Normal 54" xfId="1616"/>
    <cellStyle name="Normal 55" xfId="1617"/>
    <cellStyle name="Normal 56" xfId="1618"/>
    <cellStyle name="Normal 57" xfId="1619"/>
    <cellStyle name="Normal 58" xfId="1620"/>
    <cellStyle name="Normal 59" xfId="1621"/>
    <cellStyle name="Normal 6" xfId="1622"/>
    <cellStyle name="Normal 6 2" xfId="1623"/>
    <cellStyle name="Normal 6 2 2" xfId="1624"/>
    <cellStyle name="Normal 6 3" xfId="1625"/>
    <cellStyle name="Normal 6_TPCP trinh UBND ngay 27-12" xfId="1626"/>
    <cellStyle name="Normal 60" xfId="1627"/>
    <cellStyle name="Normal 61" xfId="1628"/>
    <cellStyle name="Normal 62" xfId="1629"/>
    <cellStyle name="Normal 63" xfId="1630"/>
    <cellStyle name="Normal 64" xfId="1631"/>
    <cellStyle name="Normal 65" xfId="1632"/>
    <cellStyle name="Normal 66" xfId="1633"/>
    <cellStyle name="Normal 67" xfId="1634"/>
    <cellStyle name="Normal 68" xfId="1635"/>
    <cellStyle name="Normal 69" xfId="1636"/>
    <cellStyle name="Normal 7" xfId="1637"/>
    <cellStyle name="Normal 7 2" xfId="1638"/>
    <cellStyle name="Normal 7 2 2" xfId="1639"/>
    <cellStyle name="Normal 7 3" xfId="1640"/>
    <cellStyle name="Normal 7 4" xfId="1641"/>
    <cellStyle name="Normal 7_!1 1 bao cao giao KH ve HTCMT vung TNB   12-12-2011" xfId="1642"/>
    <cellStyle name="Normal 70" xfId="1643"/>
    <cellStyle name="Normal 71" xfId="1644"/>
    <cellStyle name="Normal 72" xfId="1645"/>
    <cellStyle name="Normal 73" xfId="1646"/>
    <cellStyle name="Normal 74" xfId="1647"/>
    <cellStyle name="Normal 75" xfId="1648"/>
    <cellStyle name="Normal 8" xfId="1649"/>
    <cellStyle name="Normal 8 2" xfId="1650"/>
    <cellStyle name="Normal 8 2 2" xfId="1651"/>
    <cellStyle name="Normal 8 3" xfId="1652"/>
    <cellStyle name="Normal 8 4" xfId="1653"/>
    <cellStyle name="Normal 8_Bieu6(JICA)" xfId="1654"/>
    <cellStyle name="Normal 9" xfId="1655"/>
    <cellStyle name="Normal 9 2" xfId="1656"/>
    <cellStyle name="Normal 9_Bieu6(JICA)" xfId="1657"/>
    <cellStyle name="Normal_09 05 13 TH nguon KF thuc hien NQ 30a 2" xfId="1658"/>
    <cellStyle name="Normal_Bieu mau (CV )" xfId="1659"/>
    <cellStyle name="Normal_Bieu mau (CV ) 2 2" xfId="1660"/>
    <cellStyle name="Normal_Bieu mau (CV ) 2_Bieu20TPCP2013" xfId="1661"/>
    <cellStyle name="Normal_Bieu nhu cau bo tri  TPCP- 2010 -TH" xfId="1662"/>
    <cellStyle name="Normal_Sheet2" xfId="1663"/>
    <cellStyle name="Normal1" xfId="1664"/>
    <cellStyle name="Normal8" xfId="1665"/>
    <cellStyle name="Normalny_Cennik obowiazuje od 06-08-2001 r (1)" xfId="1666"/>
    <cellStyle name="Note" xfId="1667"/>
    <cellStyle name="NWM" xfId="1668"/>
    <cellStyle name="Ò&#13;Normal_123569" xfId="1669"/>
    <cellStyle name="Œ…‹æØ‚è [0.00]_laroux" xfId="1670"/>
    <cellStyle name="Œ…‹æØ‚è_laroux" xfId="1671"/>
    <cellStyle name="oft Excel]&#13;&#10;Comment=open=/f ‚ðw’è‚·‚é‚ÆAƒ†[ƒU[’è‹`ŠÖ”‚ðŠÖ”“\‚è•t‚¯‚Ìˆê——‚É“o˜^‚·‚é‚±‚Æ‚ª‚Å‚«‚Ü‚·B&#13;&#10;Maximized" xfId="1672"/>
    <cellStyle name="oft Excel]&#13;&#10;Comment=open=/f ‚ðŽw’è‚·‚é‚ÆAƒ†[ƒU[’è‹`ŠÖ”‚ðŠÖ”“\‚è•t‚¯‚Ìˆê——‚É“o˜^‚·‚é‚±‚Æ‚ª‚Å‚«‚Ü‚·B&#13;&#10;Maximized" xfId="1673"/>
    <cellStyle name="oft Excel]&#13;&#10;Comment=The open=/f lines load custom functions into the Paste Function list.&#13;&#10;Maximized=2&#13;&#10;Basics=1&#13;&#10;A" xfId="1674"/>
    <cellStyle name="oft Excel]&#13;&#10;Comment=The open=/f lines load custom functions into the Paste Function list.&#13;&#10;Maximized=3&#13;&#10;Basics=1&#13;&#10;A" xfId="1675"/>
    <cellStyle name="omma [0]_Mktg Prog" xfId="1676"/>
    <cellStyle name="ormal_Sheet1_1" xfId="1677"/>
    <cellStyle name="Output" xfId="1678"/>
    <cellStyle name="p" xfId="1679"/>
    <cellStyle name="Pattern" xfId="1680"/>
    <cellStyle name="per.style" xfId="1681"/>
    <cellStyle name="Percent" xfId="1682"/>
    <cellStyle name="Percent [0]" xfId="1683"/>
    <cellStyle name="Percent [00]" xfId="1684"/>
    <cellStyle name="Percent [2]" xfId="1685"/>
    <cellStyle name="Percent 2" xfId="1686"/>
    <cellStyle name="Percent 2 2" xfId="1687"/>
    <cellStyle name="Percent 2 2 2" xfId="1688"/>
    <cellStyle name="Percent 2 3" xfId="1689"/>
    <cellStyle name="Percent 2 4" xfId="1690"/>
    <cellStyle name="Percent 3" xfId="1691"/>
    <cellStyle name="Percent 4" xfId="1692"/>
    <cellStyle name="Percent 5" xfId="1693"/>
    <cellStyle name="Percent 6" xfId="1694"/>
    <cellStyle name="Percent 7" xfId="1695"/>
    <cellStyle name="Percent 8" xfId="1696"/>
    <cellStyle name="PERCENTAGE" xfId="1697"/>
    <cellStyle name="PERCENTAGE 2" xfId="1698"/>
    <cellStyle name="PrePop Currency (0)" xfId="1699"/>
    <cellStyle name="PrePop Currency (2)" xfId="1700"/>
    <cellStyle name="PrePop Units (0)" xfId="1701"/>
    <cellStyle name="PrePop Units (1)" xfId="1702"/>
    <cellStyle name="PrePop Units (2)" xfId="1703"/>
    <cellStyle name="pricing" xfId="1704"/>
    <cellStyle name="PSChar" xfId="1705"/>
    <cellStyle name="PSHeading" xfId="1706"/>
    <cellStyle name="Quantity" xfId="1707"/>
    <cellStyle name="regstoresfromspecstores" xfId="1708"/>
    <cellStyle name="RevList" xfId="1709"/>
    <cellStyle name="rlink_tiªn l­în_x001B_Hyperlink_TONG HOP KINH PHI" xfId="1710"/>
    <cellStyle name="rmal_ADAdot" xfId="1711"/>
    <cellStyle name="S—_x0008_" xfId="1712"/>
    <cellStyle name="s]&#13;&#10;spooler=yes&#13;&#10;load=&#13;&#10;Beep=yes&#13;&#10;NullPort=None&#13;&#10;BorderWidth=3&#13;&#10;CursorBlinkRate=1200&#13;&#10;DoubleClickSpeed=452&#13;&#10;Programs=co" xfId="1713"/>
    <cellStyle name="S—_x0008__KH TPCP vung TNB (03-1-2012)" xfId="1714"/>
    <cellStyle name="SAPBEXaggData" xfId="1715"/>
    <cellStyle name="SAPBEXaggDataEmph" xfId="1716"/>
    <cellStyle name="SAPBEXaggItem" xfId="1717"/>
    <cellStyle name="SAPBEXchaText" xfId="1718"/>
    <cellStyle name="SAPBEXexcBad7" xfId="1719"/>
    <cellStyle name="SAPBEXexcBad8" xfId="1720"/>
    <cellStyle name="SAPBEXexcBad9" xfId="1721"/>
    <cellStyle name="SAPBEXexcCritical4" xfId="1722"/>
    <cellStyle name="SAPBEXexcCritical5" xfId="1723"/>
    <cellStyle name="SAPBEXexcCritical6" xfId="1724"/>
    <cellStyle name="SAPBEXexcGood1" xfId="1725"/>
    <cellStyle name="SAPBEXexcGood2" xfId="1726"/>
    <cellStyle name="SAPBEXexcGood3" xfId="1727"/>
    <cellStyle name="SAPBEXfilterDrill" xfId="1728"/>
    <cellStyle name="SAPBEXfilterItem" xfId="1729"/>
    <cellStyle name="SAPBEXfilterText" xfId="1730"/>
    <cellStyle name="SAPBEXformats" xfId="1731"/>
    <cellStyle name="SAPBEXheaderItem" xfId="1732"/>
    <cellStyle name="SAPBEXheaderText" xfId="1733"/>
    <cellStyle name="SAPBEXresData" xfId="1734"/>
    <cellStyle name="SAPBEXresDataEmph" xfId="1735"/>
    <cellStyle name="SAPBEXresItem" xfId="1736"/>
    <cellStyle name="SAPBEXstdData" xfId="1737"/>
    <cellStyle name="SAPBEXstdDataEmph" xfId="1738"/>
    <cellStyle name="SAPBEXstdItem" xfId="1739"/>
    <cellStyle name="SAPBEXtitle" xfId="1740"/>
    <cellStyle name="SAPBEXundefined" xfId="1741"/>
    <cellStyle name="serJet 1200 Series PCL 6" xfId="1742"/>
    <cellStyle name="SHADEDSTORES" xfId="1743"/>
    <cellStyle name="SHADEDSTORES 2" xfId="1744"/>
    <cellStyle name="songuyen" xfId="1745"/>
    <cellStyle name="specstores" xfId="1746"/>
    <cellStyle name="Standard_AAbgleich" xfId="1747"/>
    <cellStyle name="STTDG" xfId="1748"/>
    <cellStyle name="Style 1" xfId="1749"/>
    <cellStyle name="Style 1 2" xfId="1750"/>
    <cellStyle name="Style 1 3" xfId="1751"/>
    <cellStyle name="Style 1 4" xfId="1752"/>
    <cellStyle name="Style 1 5" xfId="1753"/>
    <cellStyle name="Style 1 6" xfId="1754"/>
    <cellStyle name="Style 10" xfId="1755"/>
    <cellStyle name="Style 100" xfId="1756"/>
    <cellStyle name="Style 101" xfId="1757"/>
    <cellStyle name="Style 102" xfId="1758"/>
    <cellStyle name="Style 103" xfId="1759"/>
    <cellStyle name="Style 104" xfId="1760"/>
    <cellStyle name="Style 105" xfId="1761"/>
    <cellStyle name="Style 106" xfId="1762"/>
    <cellStyle name="Style 107" xfId="1763"/>
    <cellStyle name="Style 108" xfId="1764"/>
    <cellStyle name="Style 109" xfId="1765"/>
    <cellStyle name="Style 11" xfId="1766"/>
    <cellStyle name="Style 110" xfId="1767"/>
    <cellStyle name="Style 111" xfId="1768"/>
    <cellStyle name="Style 112" xfId="1769"/>
    <cellStyle name="Style 113" xfId="1770"/>
    <cellStyle name="Style 114" xfId="1771"/>
    <cellStyle name="Style 115" xfId="1772"/>
    <cellStyle name="Style 116" xfId="1773"/>
    <cellStyle name="Style 117" xfId="1774"/>
    <cellStyle name="Style 118" xfId="1775"/>
    <cellStyle name="Style 119" xfId="1776"/>
    <cellStyle name="Style 12" xfId="1777"/>
    <cellStyle name="Style 120" xfId="1778"/>
    <cellStyle name="Style 121" xfId="1779"/>
    <cellStyle name="Style 122" xfId="1780"/>
    <cellStyle name="Style 123" xfId="1781"/>
    <cellStyle name="Style 124" xfId="1782"/>
    <cellStyle name="Style 125" xfId="1783"/>
    <cellStyle name="Style 126" xfId="1784"/>
    <cellStyle name="Style 127" xfId="1785"/>
    <cellStyle name="Style 128" xfId="1786"/>
    <cellStyle name="Style 129" xfId="1787"/>
    <cellStyle name="Style 13" xfId="1788"/>
    <cellStyle name="Style 130" xfId="1789"/>
    <cellStyle name="Style 131" xfId="1790"/>
    <cellStyle name="Style 132" xfId="1791"/>
    <cellStyle name="Style 133" xfId="1792"/>
    <cellStyle name="Style 134" xfId="1793"/>
    <cellStyle name="Style 135" xfId="1794"/>
    <cellStyle name="Style 136" xfId="1795"/>
    <cellStyle name="Style 137" xfId="1796"/>
    <cellStyle name="Style 138" xfId="1797"/>
    <cellStyle name="Style 139" xfId="1798"/>
    <cellStyle name="Style 14" xfId="1799"/>
    <cellStyle name="Style 140" xfId="1800"/>
    <cellStyle name="Style 141" xfId="1801"/>
    <cellStyle name="Style 142" xfId="1802"/>
    <cellStyle name="Style 143" xfId="1803"/>
    <cellStyle name="Style 144" xfId="1804"/>
    <cellStyle name="Style 145" xfId="1805"/>
    <cellStyle name="Style 146" xfId="1806"/>
    <cellStyle name="Style 147" xfId="1807"/>
    <cellStyle name="Style 148" xfId="1808"/>
    <cellStyle name="Style 149" xfId="1809"/>
    <cellStyle name="Style 15" xfId="1810"/>
    <cellStyle name="Style 150" xfId="1811"/>
    <cellStyle name="Style 151" xfId="1812"/>
    <cellStyle name="Style 152" xfId="1813"/>
    <cellStyle name="Style 153" xfId="1814"/>
    <cellStyle name="Style 154" xfId="1815"/>
    <cellStyle name="Style 155" xfId="1816"/>
    <cellStyle name="Style 16" xfId="1817"/>
    <cellStyle name="Style 17" xfId="1818"/>
    <cellStyle name="Style 18" xfId="1819"/>
    <cellStyle name="Style 19" xfId="1820"/>
    <cellStyle name="Style 2" xfId="1821"/>
    <cellStyle name="Style 20" xfId="1822"/>
    <cellStyle name="Style 21" xfId="1823"/>
    <cellStyle name="Style 22" xfId="1824"/>
    <cellStyle name="Style 23" xfId="1825"/>
    <cellStyle name="Style 24" xfId="1826"/>
    <cellStyle name="Style 25" xfId="1827"/>
    <cellStyle name="Style 26" xfId="1828"/>
    <cellStyle name="Style 27" xfId="1829"/>
    <cellStyle name="Style 28" xfId="1830"/>
    <cellStyle name="Style 29" xfId="1831"/>
    <cellStyle name="Style 3" xfId="1832"/>
    <cellStyle name="Style 30" xfId="1833"/>
    <cellStyle name="Style 31" xfId="1834"/>
    <cellStyle name="Style 32" xfId="1835"/>
    <cellStyle name="Style 33" xfId="1836"/>
    <cellStyle name="Style 34" xfId="1837"/>
    <cellStyle name="Style 35" xfId="1838"/>
    <cellStyle name="Style 36" xfId="1839"/>
    <cellStyle name="Style 37" xfId="1840"/>
    <cellStyle name="Style 38" xfId="1841"/>
    <cellStyle name="Style 39" xfId="1842"/>
    <cellStyle name="Style 4" xfId="1843"/>
    <cellStyle name="Style 40" xfId="1844"/>
    <cellStyle name="Style 41" xfId="1845"/>
    <cellStyle name="Style 42" xfId="1846"/>
    <cellStyle name="Style 43" xfId="1847"/>
    <cellStyle name="Style 44" xfId="1848"/>
    <cellStyle name="Style 45" xfId="1849"/>
    <cellStyle name="Style 46" xfId="1850"/>
    <cellStyle name="Style 47" xfId="1851"/>
    <cellStyle name="Style 48" xfId="1852"/>
    <cellStyle name="Style 49" xfId="1853"/>
    <cellStyle name="Style 5" xfId="1854"/>
    <cellStyle name="Style 50" xfId="1855"/>
    <cellStyle name="Style 51" xfId="1856"/>
    <cellStyle name="Style 52" xfId="1857"/>
    <cellStyle name="Style 53" xfId="1858"/>
    <cellStyle name="Style 54" xfId="1859"/>
    <cellStyle name="Style 55" xfId="1860"/>
    <cellStyle name="Style 56" xfId="1861"/>
    <cellStyle name="Style 57" xfId="1862"/>
    <cellStyle name="Style 58" xfId="1863"/>
    <cellStyle name="Style 59" xfId="1864"/>
    <cellStyle name="Style 6" xfId="1865"/>
    <cellStyle name="Style 60" xfId="1866"/>
    <cellStyle name="Style 61" xfId="1867"/>
    <cellStyle name="Style 62" xfId="1868"/>
    <cellStyle name="Style 63" xfId="1869"/>
    <cellStyle name="Style 64" xfId="1870"/>
    <cellStyle name="Style 65" xfId="1871"/>
    <cellStyle name="Style 66" xfId="1872"/>
    <cellStyle name="Style 67" xfId="1873"/>
    <cellStyle name="Style 68" xfId="1874"/>
    <cellStyle name="Style 69" xfId="1875"/>
    <cellStyle name="Style 7" xfId="1876"/>
    <cellStyle name="Style 70" xfId="1877"/>
    <cellStyle name="Style 71" xfId="1878"/>
    <cellStyle name="Style 72" xfId="1879"/>
    <cellStyle name="Style 73" xfId="1880"/>
    <cellStyle name="Style 74" xfId="1881"/>
    <cellStyle name="Style 75" xfId="1882"/>
    <cellStyle name="Style 76" xfId="1883"/>
    <cellStyle name="Style 77" xfId="1884"/>
    <cellStyle name="Style 78" xfId="1885"/>
    <cellStyle name="Style 79" xfId="1886"/>
    <cellStyle name="Style 8" xfId="1887"/>
    <cellStyle name="Style 80" xfId="1888"/>
    <cellStyle name="Style 81" xfId="1889"/>
    <cellStyle name="Style 82" xfId="1890"/>
    <cellStyle name="Style 83" xfId="1891"/>
    <cellStyle name="Style 84" xfId="1892"/>
    <cellStyle name="Style 85" xfId="1893"/>
    <cellStyle name="Style 86" xfId="1894"/>
    <cellStyle name="Style 87" xfId="1895"/>
    <cellStyle name="Style 88" xfId="1896"/>
    <cellStyle name="Style 89" xfId="1897"/>
    <cellStyle name="Style 9" xfId="1898"/>
    <cellStyle name="Style 90" xfId="1899"/>
    <cellStyle name="Style 91" xfId="1900"/>
    <cellStyle name="Style 92" xfId="1901"/>
    <cellStyle name="Style 93" xfId="1902"/>
    <cellStyle name="Style 94" xfId="1903"/>
    <cellStyle name="Style 95" xfId="1904"/>
    <cellStyle name="Style 96" xfId="1905"/>
    <cellStyle name="Style 97" xfId="1906"/>
    <cellStyle name="Style 98" xfId="1907"/>
    <cellStyle name="Style 99" xfId="1908"/>
    <cellStyle name="Style Date" xfId="1909"/>
    <cellStyle name="style_1" xfId="1910"/>
    <cellStyle name="subhead" xfId="1911"/>
    <cellStyle name="Subtotal" xfId="1912"/>
    <cellStyle name="symbol" xfId="1913"/>
    <cellStyle name="T" xfId="1914"/>
    <cellStyle name="T 2" xfId="1915"/>
    <cellStyle name="T_bao cao" xfId="1916"/>
    <cellStyle name="T_bao cao 2" xfId="1917"/>
    <cellStyle name="T_Bao cao so lieu kiem toan nam 2007 sua" xfId="1918"/>
    <cellStyle name="T_Bao cao so lieu kiem toan nam 2007 sua 2" xfId="1919"/>
    <cellStyle name="T_Bao cao so lieu kiem toan nam 2007 sua_!1 1 bao cao giao KH ve HTCMT vung TNB   12-12-2011" xfId="1920"/>
    <cellStyle name="T_Bao cao so lieu kiem toan nam 2007 sua_!1 1 bao cao giao KH ve HTCMT vung TNB   12-12-2011 2" xfId="1921"/>
    <cellStyle name="T_Bao cao so lieu kiem toan nam 2007 sua_KH TPCP vung TNB (03-1-2012)" xfId="1922"/>
    <cellStyle name="T_Bao cao so lieu kiem toan nam 2007 sua_KH TPCP vung TNB (03-1-2012) 2" xfId="1923"/>
    <cellStyle name="T_bao cao_!1 1 bao cao giao KH ve HTCMT vung TNB   12-12-2011" xfId="1924"/>
    <cellStyle name="T_bao cao_!1 1 bao cao giao KH ve HTCMT vung TNB   12-12-2011 2" xfId="1925"/>
    <cellStyle name="T_bao cao_Bieu4HTMT" xfId="1926"/>
    <cellStyle name="T_bao cao_Bieu4HTMT 2" xfId="1927"/>
    <cellStyle name="T_bao cao_Bieu4HTMT_!1 1 bao cao giao KH ve HTCMT vung TNB   12-12-2011" xfId="1928"/>
    <cellStyle name="T_bao cao_Bieu4HTMT_!1 1 bao cao giao KH ve HTCMT vung TNB   12-12-2011 2" xfId="1929"/>
    <cellStyle name="T_bao cao_Bieu4HTMT_KH TPCP vung TNB (03-1-2012)" xfId="1930"/>
    <cellStyle name="T_bao cao_Bieu4HTMT_KH TPCP vung TNB (03-1-2012) 2" xfId="1931"/>
    <cellStyle name="T_bao cao_KH TPCP vung TNB (03-1-2012)" xfId="1932"/>
    <cellStyle name="T_bao cao_KH TPCP vung TNB (03-1-2012) 2" xfId="1933"/>
    <cellStyle name="T_BBTNG-06" xfId="1934"/>
    <cellStyle name="T_BBTNG-06 2" xfId="1935"/>
    <cellStyle name="T_BBTNG-06_!1 1 bao cao giao KH ve HTCMT vung TNB   12-12-2011" xfId="1936"/>
    <cellStyle name="T_BBTNG-06_!1 1 bao cao giao KH ve HTCMT vung TNB   12-12-2011 2" xfId="1937"/>
    <cellStyle name="T_BBTNG-06_Bieu4HTMT" xfId="1938"/>
    <cellStyle name="T_BBTNG-06_Bieu4HTMT 2" xfId="1939"/>
    <cellStyle name="T_BBTNG-06_Bieu4HTMT_!1 1 bao cao giao KH ve HTCMT vung TNB   12-12-2011" xfId="1940"/>
    <cellStyle name="T_BBTNG-06_Bieu4HTMT_!1 1 bao cao giao KH ve HTCMT vung TNB   12-12-2011 2" xfId="1941"/>
    <cellStyle name="T_BBTNG-06_Bieu4HTMT_KH TPCP vung TNB (03-1-2012)" xfId="1942"/>
    <cellStyle name="T_BBTNG-06_Bieu4HTMT_KH TPCP vung TNB (03-1-2012) 2" xfId="1943"/>
    <cellStyle name="T_BBTNG-06_KH TPCP vung TNB (03-1-2012)" xfId="1944"/>
    <cellStyle name="T_BBTNG-06_KH TPCP vung TNB (03-1-2012) 2" xfId="1945"/>
    <cellStyle name="T_BC  NAM 2007" xfId="1946"/>
    <cellStyle name="T_BC  NAM 2007 2" xfId="1947"/>
    <cellStyle name="T_BC CTMT-2008 Ttinh" xfId="1948"/>
    <cellStyle name="T_BC CTMT-2008 Ttinh 2" xfId="1949"/>
    <cellStyle name="T_BC CTMT-2008 Ttinh_!1 1 bao cao giao KH ve HTCMT vung TNB   12-12-2011" xfId="1950"/>
    <cellStyle name="T_BC CTMT-2008 Ttinh_!1 1 bao cao giao KH ve HTCMT vung TNB   12-12-2011 2" xfId="1951"/>
    <cellStyle name="T_BC CTMT-2008 Ttinh_KH TPCP vung TNB (03-1-2012)" xfId="1952"/>
    <cellStyle name="T_BC CTMT-2008 Ttinh_KH TPCP vung TNB (03-1-2012) 2" xfId="1953"/>
    <cellStyle name="T_Bieu mau cong trinh khoi cong moi 3-4" xfId="1954"/>
    <cellStyle name="T_Bieu mau cong trinh khoi cong moi 3-4 2" xfId="1955"/>
    <cellStyle name="T_Bieu mau cong trinh khoi cong moi 3-4_!1 1 bao cao giao KH ve HTCMT vung TNB   12-12-2011" xfId="1956"/>
    <cellStyle name="T_Bieu mau cong trinh khoi cong moi 3-4_!1 1 bao cao giao KH ve HTCMT vung TNB   12-12-2011 2" xfId="1957"/>
    <cellStyle name="T_Bieu mau cong trinh khoi cong moi 3-4_KH TPCP vung TNB (03-1-2012)" xfId="1958"/>
    <cellStyle name="T_Bieu mau cong trinh khoi cong moi 3-4_KH TPCP vung TNB (03-1-2012) 2" xfId="1959"/>
    <cellStyle name="T_Bieu mau danh muc du an thuoc CTMTQG nam 2008" xfId="1960"/>
    <cellStyle name="T_Bieu mau danh muc du an thuoc CTMTQG nam 2008 2" xfId="1961"/>
    <cellStyle name="T_Bieu mau danh muc du an thuoc CTMTQG nam 2008_!1 1 bao cao giao KH ve HTCMT vung TNB   12-12-2011" xfId="1962"/>
    <cellStyle name="T_Bieu mau danh muc du an thuoc CTMTQG nam 2008_!1 1 bao cao giao KH ve HTCMT vung TNB   12-12-2011 2" xfId="1963"/>
    <cellStyle name="T_Bieu mau danh muc du an thuoc CTMTQG nam 2008_KH TPCP vung TNB (03-1-2012)" xfId="1964"/>
    <cellStyle name="T_Bieu mau danh muc du an thuoc CTMTQG nam 2008_KH TPCP vung TNB (03-1-2012) 2" xfId="1965"/>
    <cellStyle name="T_Bieu tong hop nhu cau ung 2011 da chon loc -Mien nui" xfId="1966"/>
    <cellStyle name="T_Bieu tong hop nhu cau ung 2011 da chon loc -Mien nui 2" xfId="1967"/>
    <cellStyle name="T_Bieu tong hop nhu cau ung 2011 da chon loc -Mien nui_!1 1 bao cao giao KH ve HTCMT vung TNB   12-12-2011" xfId="1968"/>
    <cellStyle name="T_Bieu tong hop nhu cau ung 2011 da chon loc -Mien nui_!1 1 bao cao giao KH ve HTCMT vung TNB   12-12-2011 2" xfId="1969"/>
    <cellStyle name="T_Bieu tong hop nhu cau ung 2011 da chon loc -Mien nui_KH TPCP vung TNB (03-1-2012)" xfId="1970"/>
    <cellStyle name="T_Bieu tong hop nhu cau ung 2011 da chon loc -Mien nui_KH TPCP vung TNB (03-1-2012) 2" xfId="1971"/>
    <cellStyle name="T_Bieu3ODA" xfId="1972"/>
    <cellStyle name="T_Bieu3ODA 2" xfId="1973"/>
    <cellStyle name="T_Bieu3ODA_!1 1 bao cao giao KH ve HTCMT vung TNB   12-12-2011" xfId="1974"/>
    <cellStyle name="T_Bieu3ODA_!1 1 bao cao giao KH ve HTCMT vung TNB   12-12-2011 2" xfId="1975"/>
    <cellStyle name="T_Bieu3ODA_1" xfId="1976"/>
    <cellStyle name="T_Bieu3ODA_1 2" xfId="1977"/>
    <cellStyle name="T_Bieu3ODA_1_!1 1 bao cao giao KH ve HTCMT vung TNB   12-12-2011" xfId="1978"/>
    <cellStyle name="T_Bieu3ODA_1_!1 1 bao cao giao KH ve HTCMT vung TNB   12-12-2011 2" xfId="1979"/>
    <cellStyle name="T_Bieu3ODA_1_KH TPCP vung TNB (03-1-2012)" xfId="1980"/>
    <cellStyle name="T_Bieu3ODA_1_KH TPCP vung TNB (03-1-2012) 2" xfId="1981"/>
    <cellStyle name="T_Bieu3ODA_KH TPCP vung TNB (03-1-2012)" xfId="1982"/>
    <cellStyle name="T_Bieu3ODA_KH TPCP vung TNB (03-1-2012) 2" xfId="1983"/>
    <cellStyle name="T_Bieu4HTMT" xfId="1984"/>
    <cellStyle name="T_Bieu4HTMT 2" xfId="1985"/>
    <cellStyle name="T_Bieu4HTMT_!1 1 bao cao giao KH ve HTCMT vung TNB   12-12-2011" xfId="1986"/>
    <cellStyle name="T_Bieu4HTMT_!1 1 bao cao giao KH ve HTCMT vung TNB   12-12-2011 2" xfId="1987"/>
    <cellStyle name="T_Bieu4HTMT_KH TPCP vung TNB (03-1-2012)" xfId="1988"/>
    <cellStyle name="T_Bieu4HTMT_KH TPCP vung TNB (03-1-2012) 2" xfId="1989"/>
    <cellStyle name="T_bo sung von KCH nam 2010 va Du an tre kho khan" xfId="1990"/>
    <cellStyle name="T_bo sung von KCH nam 2010 va Du an tre kho khan 2" xfId="1991"/>
    <cellStyle name="T_bo sung von KCH nam 2010 va Du an tre kho khan_!1 1 bao cao giao KH ve HTCMT vung TNB   12-12-2011" xfId="1992"/>
    <cellStyle name="T_bo sung von KCH nam 2010 va Du an tre kho khan_!1 1 bao cao giao KH ve HTCMT vung TNB   12-12-2011 2" xfId="1993"/>
    <cellStyle name="T_bo sung von KCH nam 2010 va Du an tre kho khan_KH TPCP vung TNB (03-1-2012)" xfId="1994"/>
    <cellStyle name="T_bo sung von KCH nam 2010 va Du an tre kho khan_KH TPCP vung TNB (03-1-2012) 2" xfId="1995"/>
    <cellStyle name="T_Book1" xfId="1996"/>
    <cellStyle name="T_Book1 2" xfId="1997"/>
    <cellStyle name="T_Book1_!1 1 bao cao giao KH ve HTCMT vung TNB   12-12-2011" xfId="1998"/>
    <cellStyle name="T_Book1_!1 1 bao cao giao KH ve HTCMT vung TNB   12-12-2011 2" xfId="1999"/>
    <cellStyle name="T_Book1_1" xfId="2000"/>
    <cellStyle name="T_Book1_1 2" xfId="2001"/>
    <cellStyle name="T_Book1_1_Bieu tong hop nhu cau ung 2011 da chon loc -Mien nui" xfId="2002"/>
    <cellStyle name="T_Book1_1_Bieu tong hop nhu cau ung 2011 da chon loc -Mien nui 2" xfId="2003"/>
    <cellStyle name="T_Book1_1_Bieu tong hop nhu cau ung 2011 da chon loc -Mien nui_!1 1 bao cao giao KH ve HTCMT vung TNB   12-12-2011" xfId="2004"/>
    <cellStyle name="T_Book1_1_Bieu tong hop nhu cau ung 2011 da chon loc -Mien nui_!1 1 bao cao giao KH ve HTCMT vung TNB   12-12-2011 2" xfId="2005"/>
    <cellStyle name="T_Book1_1_Bieu tong hop nhu cau ung 2011 da chon loc -Mien nui_KH TPCP vung TNB (03-1-2012)" xfId="2006"/>
    <cellStyle name="T_Book1_1_Bieu tong hop nhu cau ung 2011 da chon loc -Mien nui_KH TPCP vung TNB (03-1-2012) 2" xfId="2007"/>
    <cellStyle name="T_Book1_1_Bieu3ODA" xfId="2008"/>
    <cellStyle name="T_Book1_1_Bieu3ODA 2" xfId="2009"/>
    <cellStyle name="T_Book1_1_Bieu3ODA_!1 1 bao cao giao KH ve HTCMT vung TNB   12-12-2011" xfId="2010"/>
    <cellStyle name="T_Book1_1_Bieu3ODA_!1 1 bao cao giao KH ve HTCMT vung TNB   12-12-2011 2" xfId="2011"/>
    <cellStyle name="T_Book1_1_Bieu3ODA_KH TPCP vung TNB (03-1-2012)" xfId="2012"/>
    <cellStyle name="T_Book1_1_Bieu3ODA_KH TPCP vung TNB (03-1-2012) 2" xfId="2013"/>
    <cellStyle name="T_Book1_1_CPK" xfId="2014"/>
    <cellStyle name="T_Book1_1_CPK 2" xfId="2015"/>
    <cellStyle name="T_Book1_1_CPK_!1 1 bao cao giao KH ve HTCMT vung TNB   12-12-2011" xfId="2016"/>
    <cellStyle name="T_Book1_1_CPK_!1 1 bao cao giao KH ve HTCMT vung TNB   12-12-2011 2" xfId="2017"/>
    <cellStyle name="T_Book1_1_CPK_Bieu4HTMT" xfId="2018"/>
    <cellStyle name="T_Book1_1_CPK_Bieu4HTMT 2" xfId="2019"/>
    <cellStyle name="T_Book1_1_CPK_Bieu4HTMT_!1 1 bao cao giao KH ve HTCMT vung TNB   12-12-2011" xfId="2020"/>
    <cellStyle name="T_Book1_1_CPK_Bieu4HTMT_!1 1 bao cao giao KH ve HTCMT vung TNB   12-12-2011 2" xfId="2021"/>
    <cellStyle name="T_Book1_1_CPK_Bieu4HTMT_KH TPCP vung TNB (03-1-2012)" xfId="2022"/>
    <cellStyle name="T_Book1_1_CPK_Bieu4HTMT_KH TPCP vung TNB (03-1-2012) 2" xfId="2023"/>
    <cellStyle name="T_Book1_1_CPK_KH TPCP vung TNB (03-1-2012)" xfId="2024"/>
    <cellStyle name="T_Book1_1_CPK_KH TPCP vung TNB (03-1-2012) 2" xfId="2025"/>
    <cellStyle name="T_Book1_1_KH TPCP vung TNB (03-1-2012)" xfId="2026"/>
    <cellStyle name="T_Book1_1_KH TPCP vung TNB (03-1-2012) 2" xfId="2027"/>
    <cellStyle name="T_Book1_1_kien giang 2" xfId="2028"/>
    <cellStyle name="T_Book1_1_kien giang 2 2" xfId="2029"/>
    <cellStyle name="T_Book1_1_Luy ke von ung nam 2011 -Thoa gui ngay 12-8-2012" xfId="2030"/>
    <cellStyle name="T_Book1_1_Luy ke von ung nam 2011 -Thoa gui ngay 12-8-2012 2" xfId="2031"/>
    <cellStyle name="T_Book1_1_Luy ke von ung nam 2011 -Thoa gui ngay 12-8-2012_!1 1 bao cao giao KH ve HTCMT vung TNB   12-12-2011" xfId="2032"/>
    <cellStyle name="T_Book1_1_Luy ke von ung nam 2011 -Thoa gui ngay 12-8-2012_!1 1 bao cao giao KH ve HTCMT vung TNB   12-12-2011 2" xfId="2033"/>
    <cellStyle name="T_Book1_1_Luy ke von ung nam 2011 -Thoa gui ngay 12-8-2012_KH TPCP vung TNB (03-1-2012)" xfId="2034"/>
    <cellStyle name="T_Book1_1_Luy ke von ung nam 2011 -Thoa gui ngay 12-8-2012_KH TPCP vung TNB (03-1-2012) 2" xfId="2035"/>
    <cellStyle name="T_Book1_1_Thiet bi" xfId="2036"/>
    <cellStyle name="T_Book1_1_Thiet bi 2" xfId="2037"/>
    <cellStyle name="T_Book1_1_Thiet bi_!1 1 bao cao giao KH ve HTCMT vung TNB   12-12-2011" xfId="2038"/>
    <cellStyle name="T_Book1_1_Thiet bi_!1 1 bao cao giao KH ve HTCMT vung TNB   12-12-2011 2" xfId="2039"/>
    <cellStyle name="T_Book1_1_Thiet bi_Bieu4HTMT" xfId="2040"/>
    <cellStyle name="T_Book1_1_Thiet bi_Bieu4HTMT 2" xfId="2041"/>
    <cellStyle name="T_Book1_1_Thiet bi_Bieu4HTMT_!1 1 bao cao giao KH ve HTCMT vung TNB   12-12-2011" xfId="2042"/>
    <cellStyle name="T_Book1_1_Thiet bi_Bieu4HTMT_!1 1 bao cao giao KH ve HTCMT vung TNB   12-12-2011 2" xfId="2043"/>
    <cellStyle name="T_Book1_1_Thiet bi_Bieu4HTMT_KH TPCP vung TNB (03-1-2012)" xfId="2044"/>
    <cellStyle name="T_Book1_1_Thiet bi_Bieu4HTMT_KH TPCP vung TNB (03-1-2012) 2" xfId="2045"/>
    <cellStyle name="T_Book1_1_Thiet bi_KH TPCP vung TNB (03-1-2012)" xfId="2046"/>
    <cellStyle name="T_Book1_1_Thiet bi_KH TPCP vung TNB (03-1-2012) 2" xfId="2047"/>
    <cellStyle name="T_Book1_BC NQ11-CP - chinh sua lai" xfId="2048"/>
    <cellStyle name="T_Book1_BC NQ11-CP - chinh sua lai 2" xfId="2049"/>
    <cellStyle name="T_Book1_BC NQ11-CP-Quynh sau bieu so3" xfId="2050"/>
    <cellStyle name="T_Book1_BC NQ11-CP-Quynh sau bieu so3 2" xfId="2051"/>
    <cellStyle name="T_Book1_BC_NQ11-CP_-_Thao_sua_lai" xfId="2052"/>
    <cellStyle name="T_Book1_BC_NQ11-CP_-_Thao_sua_lai 2" xfId="2053"/>
    <cellStyle name="T_Book1_Bieu mau cong trinh khoi cong moi 3-4" xfId="2054"/>
    <cellStyle name="T_Book1_Bieu mau cong trinh khoi cong moi 3-4 2" xfId="2055"/>
    <cellStyle name="T_Book1_Bieu mau cong trinh khoi cong moi 3-4_!1 1 bao cao giao KH ve HTCMT vung TNB   12-12-2011" xfId="2056"/>
    <cellStyle name="T_Book1_Bieu mau cong trinh khoi cong moi 3-4_!1 1 bao cao giao KH ve HTCMT vung TNB   12-12-2011 2" xfId="2057"/>
    <cellStyle name="T_Book1_Bieu mau cong trinh khoi cong moi 3-4_KH TPCP vung TNB (03-1-2012)" xfId="2058"/>
    <cellStyle name="T_Book1_Bieu mau cong trinh khoi cong moi 3-4_KH TPCP vung TNB (03-1-2012) 2" xfId="2059"/>
    <cellStyle name="T_Book1_Bieu mau danh muc du an thuoc CTMTQG nam 2008" xfId="2060"/>
    <cellStyle name="T_Book1_Bieu mau danh muc du an thuoc CTMTQG nam 2008 2" xfId="2061"/>
    <cellStyle name="T_Book1_Bieu mau danh muc du an thuoc CTMTQG nam 2008_!1 1 bao cao giao KH ve HTCMT vung TNB   12-12-2011" xfId="2062"/>
    <cellStyle name="T_Book1_Bieu mau danh muc du an thuoc CTMTQG nam 2008_!1 1 bao cao giao KH ve HTCMT vung TNB   12-12-2011 2" xfId="2063"/>
    <cellStyle name="T_Book1_Bieu mau danh muc du an thuoc CTMTQG nam 2008_KH TPCP vung TNB (03-1-2012)" xfId="2064"/>
    <cellStyle name="T_Book1_Bieu mau danh muc du an thuoc CTMTQG nam 2008_KH TPCP vung TNB (03-1-2012) 2" xfId="2065"/>
    <cellStyle name="T_Book1_Bieu tong hop nhu cau ung 2011 da chon loc -Mien nui" xfId="2066"/>
    <cellStyle name="T_Book1_Bieu tong hop nhu cau ung 2011 da chon loc -Mien nui 2" xfId="2067"/>
    <cellStyle name="T_Book1_Bieu tong hop nhu cau ung 2011 da chon loc -Mien nui_!1 1 bao cao giao KH ve HTCMT vung TNB   12-12-2011" xfId="2068"/>
    <cellStyle name="T_Book1_Bieu tong hop nhu cau ung 2011 da chon loc -Mien nui_!1 1 bao cao giao KH ve HTCMT vung TNB   12-12-2011 2" xfId="2069"/>
    <cellStyle name="T_Book1_Bieu tong hop nhu cau ung 2011 da chon loc -Mien nui_KH TPCP vung TNB (03-1-2012)" xfId="2070"/>
    <cellStyle name="T_Book1_Bieu tong hop nhu cau ung 2011 da chon loc -Mien nui_KH TPCP vung TNB (03-1-2012) 2" xfId="2071"/>
    <cellStyle name="T_Book1_Bieu3ODA" xfId="2072"/>
    <cellStyle name="T_Book1_Bieu3ODA 2" xfId="2073"/>
    <cellStyle name="T_Book1_Bieu3ODA_!1 1 bao cao giao KH ve HTCMT vung TNB   12-12-2011" xfId="2074"/>
    <cellStyle name="T_Book1_Bieu3ODA_!1 1 bao cao giao KH ve HTCMT vung TNB   12-12-2011 2" xfId="2075"/>
    <cellStyle name="T_Book1_Bieu3ODA_1" xfId="2076"/>
    <cellStyle name="T_Book1_Bieu3ODA_1 2" xfId="2077"/>
    <cellStyle name="T_Book1_Bieu3ODA_1_!1 1 bao cao giao KH ve HTCMT vung TNB   12-12-2011" xfId="2078"/>
    <cellStyle name="T_Book1_Bieu3ODA_1_!1 1 bao cao giao KH ve HTCMT vung TNB   12-12-2011 2" xfId="2079"/>
    <cellStyle name="T_Book1_Bieu3ODA_1_KH TPCP vung TNB (03-1-2012)" xfId="2080"/>
    <cellStyle name="T_Book1_Bieu3ODA_1_KH TPCP vung TNB (03-1-2012) 2" xfId="2081"/>
    <cellStyle name="T_Book1_Bieu3ODA_KH TPCP vung TNB (03-1-2012)" xfId="2082"/>
    <cellStyle name="T_Book1_Bieu3ODA_KH TPCP vung TNB (03-1-2012) 2" xfId="2083"/>
    <cellStyle name="T_Book1_Bieu4HTMT" xfId="2084"/>
    <cellStyle name="T_Book1_Bieu4HTMT 2" xfId="2085"/>
    <cellStyle name="T_Book1_Bieu4HTMT_!1 1 bao cao giao KH ve HTCMT vung TNB   12-12-2011" xfId="2086"/>
    <cellStyle name="T_Book1_Bieu4HTMT_!1 1 bao cao giao KH ve HTCMT vung TNB   12-12-2011 2" xfId="2087"/>
    <cellStyle name="T_Book1_Bieu4HTMT_KH TPCP vung TNB (03-1-2012)" xfId="2088"/>
    <cellStyle name="T_Book1_Bieu4HTMT_KH TPCP vung TNB (03-1-2012) 2" xfId="2089"/>
    <cellStyle name="T_Book1_Book1" xfId="2090"/>
    <cellStyle name="T_Book1_Book1 2" xfId="2091"/>
    <cellStyle name="T_Book1_Cong trinh co y kien LD_Dang_NN_2011-Tay nguyen-9-10" xfId="2092"/>
    <cellStyle name="T_Book1_Cong trinh co y kien LD_Dang_NN_2011-Tay nguyen-9-10 2" xfId="2093"/>
    <cellStyle name="T_Book1_Cong trinh co y kien LD_Dang_NN_2011-Tay nguyen-9-10_!1 1 bao cao giao KH ve HTCMT vung TNB   12-12-2011" xfId="2094"/>
    <cellStyle name="T_Book1_Cong trinh co y kien LD_Dang_NN_2011-Tay nguyen-9-10_!1 1 bao cao giao KH ve HTCMT vung TNB   12-12-2011 2" xfId="2095"/>
    <cellStyle name="T_Book1_Cong trinh co y kien LD_Dang_NN_2011-Tay nguyen-9-10_Bieu4HTMT" xfId="2096"/>
    <cellStyle name="T_Book1_Cong trinh co y kien LD_Dang_NN_2011-Tay nguyen-9-10_Bieu4HTMT 2" xfId="2097"/>
    <cellStyle name="T_Book1_Cong trinh co y kien LD_Dang_NN_2011-Tay nguyen-9-10_KH TPCP vung TNB (03-1-2012)" xfId="2098"/>
    <cellStyle name="T_Book1_Cong trinh co y kien LD_Dang_NN_2011-Tay nguyen-9-10_KH TPCP vung TNB (03-1-2012) 2" xfId="2099"/>
    <cellStyle name="T_Book1_CPK" xfId="2100"/>
    <cellStyle name="T_Book1_CPK 2" xfId="2101"/>
    <cellStyle name="T_Book1_danh muc chuan bi dau tu 2011 ngay 07-6-2011" xfId="2102"/>
    <cellStyle name="T_Book1_danh muc chuan bi dau tu 2011 ngay 07-6-2011 2" xfId="2103"/>
    <cellStyle name="T_Book1_dieu chinh KH 2011 ngay 26-5-2011111" xfId="2104"/>
    <cellStyle name="T_Book1_dieu chinh KH 2011 ngay 26-5-2011111 2" xfId="2105"/>
    <cellStyle name="T_Book1_Du an khoi cong moi nam 2010" xfId="2106"/>
    <cellStyle name="T_Book1_Du an khoi cong moi nam 2010 2" xfId="2107"/>
    <cellStyle name="T_Book1_Du an khoi cong moi nam 2010_!1 1 bao cao giao KH ve HTCMT vung TNB   12-12-2011" xfId="2108"/>
    <cellStyle name="T_Book1_Du an khoi cong moi nam 2010_!1 1 bao cao giao KH ve HTCMT vung TNB   12-12-2011 2" xfId="2109"/>
    <cellStyle name="T_Book1_Du an khoi cong moi nam 2010_KH TPCP vung TNB (03-1-2012)" xfId="2110"/>
    <cellStyle name="T_Book1_Du an khoi cong moi nam 2010_KH TPCP vung TNB (03-1-2012) 2" xfId="2111"/>
    <cellStyle name="T_Book1_giao KH 2011 ngay 10-12-2010" xfId="2112"/>
    <cellStyle name="T_Book1_giao KH 2011 ngay 10-12-2010 2" xfId="2113"/>
    <cellStyle name="T_Book1_Hang Tom goi9 9-07(Cau 12 sua)" xfId="2114"/>
    <cellStyle name="T_Book1_Hang Tom goi9 9-07(Cau 12 sua) 2" xfId="2115"/>
    <cellStyle name="T_Book1_Ket qua phan bo von nam 2008" xfId="2116"/>
    <cellStyle name="T_Book1_Ket qua phan bo von nam 2008 2" xfId="2117"/>
    <cellStyle name="T_Book1_Ket qua phan bo von nam 2008_!1 1 bao cao giao KH ve HTCMT vung TNB   12-12-2011" xfId="2118"/>
    <cellStyle name="T_Book1_Ket qua phan bo von nam 2008_!1 1 bao cao giao KH ve HTCMT vung TNB   12-12-2011 2" xfId="2119"/>
    <cellStyle name="T_Book1_Ket qua phan bo von nam 2008_KH TPCP vung TNB (03-1-2012)" xfId="2120"/>
    <cellStyle name="T_Book1_Ket qua phan bo von nam 2008_KH TPCP vung TNB (03-1-2012) 2" xfId="2121"/>
    <cellStyle name="T_Book1_KH TPCP vung TNB (03-1-2012)" xfId="2122"/>
    <cellStyle name="T_Book1_KH TPCP vung TNB (03-1-2012) 2" xfId="2123"/>
    <cellStyle name="T_Book1_KH XDCB_2008 lan 2 sua ngay 10-11" xfId="2124"/>
    <cellStyle name="T_Book1_KH XDCB_2008 lan 2 sua ngay 10-11 2" xfId="2125"/>
    <cellStyle name="T_Book1_KH XDCB_2008 lan 2 sua ngay 10-11_!1 1 bao cao giao KH ve HTCMT vung TNB   12-12-2011" xfId="2126"/>
    <cellStyle name="T_Book1_KH XDCB_2008 lan 2 sua ngay 10-11_!1 1 bao cao giao KH ve HTCMT vung TNB   12-12-2011 2" xfId="2127"/>
    <cellStyle name="T_Book1_KH XDCB_2008 lan 2 sua ngay 10-11_KH TPCP vung TNB (03-1-2012)" xfId="2128"/>
    <cellStyle name="T_Book1_KH XDCB_2008 lan 2 sua ngay 10-11_KH TPCP vung TNB (03-1-2012) 2" xfId="2129"/>
    <cellStyle name="T_Book1_Khoi luong chinh Hang Tom" xfId="2130"/>
    <cellStyle name="T_Book1_Khoi luong chinh Hang Tom 2" xfId="2131"/>
    <cellStyle name="T_Book1_kien giang 2" xfId="2132"/>
    <cellStyle name="T_Book1_kien giang 2 2" xfId="2133"/>
    <cellStyle name="T_Book1_Luy ke von ung nam 2011 -Thoa gui ngay 12-8-2012" xfId="2134"/>
    <cellStyle name="T_Book1_Luy ke von ung nam 2011 -Thoa gui ngay 12-8-2012 2" xfId="2135"/>
    <cellStyle name="T_Book1_Luy ke von ung nam 2011 -Thoa gui ngay 12-8-2012_!1 1 bao cao giao KH ve HTCMT vung TNB   12-12-2011" xfId="2136"/>
    <cellStyle name="T_Book1_Luy ke von ung nam 2011 -Thoa gui ngay 12-8-2012_!1 1 bao cao giao KH ve HTCMT vung TNB   12-12-2011 2" xfId="2137"/>
    <cellStyle name="T_Book1_Luy ke von ung nam 2011 -Thoa gui ngay 12-8-2012_KH TPCP vung TNB (03-1-2012)" xfId="2138"/>
    <cellStyle name="T_Book1_Luy ke von ung nam 2011 -Thoa gui ngay 12-8-2012_KH TPCP vung TNB (03-1-2012) 2" xfId="2139"/>
    <cellStyle name="T_Book1_Nhu cau von ung truoc 2011 Tha h Hoa + Nge An gui TW" xfId="2140"/>
    <cellStyle name="T_Book1_Nhu cau von ung truoc 2011 Tha h Hoa + Nge An gui TW 2" xfId="2141"/>
    <cellStyle name="T_Book1_Nhu cau von ung truoc 2011 Tha h Hoa + Nge An gui TW_!1 1 bao cao giao KH ve HTCMT vung TNB   12-12-2011" xfId="2142"/>
    <cellStyle name="T_Book1_Nhu cau von ung truoc 2011 Tha h Hoa + Nge An gui TW_!1 1 bao cao giao KH ve HTCMT vung TNB   12-12-2011 2" xfId="2143"/>
    <cellStyle name="T_Book1_Nhu cau von ung truoc 2011 Tha h Hoa + Nge An gui TW_Bieu4HTMT" xfId="2144"/>
    <cellStyle name="T_Book1_Nhu cau von ung truoc 2011 Tha h Hoa + Nge An gui TW_Bieu4HTMT 2" xfId="2145"/>
    <cellStyle name="T_Book1_Nhu cau von ung truoc 2011 Tha h Hoa + Nge An gui TW_Bieu4HTMT_!1 1 bao cao giao KH ve HTCMT vung TNB   12-12-2011" xfId="2146"/>
    <cellStyle name="T_Book1_Nhu cau von ung truoc 2011 Tha h Hoa + Nge An gui TW_Bieu4HTMT_!1 1 bao cao giao KH ve HTCMT vung TNB   12-12-2011 2" xfId="2147"/>
    <cellStyle name="T_Book1_Nhu cau von ung truoc 2011 Tha h Hoa + Nge An gui TW_Bieu4HTMT_KH TPCP vung TNB (03-1-2012)" xfId="2148"/>
    <cellStyle name="T_Book1_Nhu cau von ung truoc 2011 Tha h Hoa + Nge An gui TW_Bieu4HTMT_KH TPCP vung TNB (03-1-2012) 2" xfId="2149"/>
    <cellStyle name="T_Book1_Nhu cau von ung truoc 2011 Tha h Hoa + Nge An gui TW_KH TPCP vung TNB (03-1-2012)" xfId="2150"/>
    <cellStyle name="T_Book1_Nhu cau von ung truoc 2011 Tha h Hoa + Nge An gui TW_KH TPCP vung TNB (03-1-2012) 2" xfId="2151"/>
    <cellStyle name="T_Book1_phu luc tong ket tinh hinh TH giai doan 03-10 (ngay 30)" xfId="2152"/>
    <cellStyle name="T_Book1_phu luc tong ket tinh hinh TH giai doan 03-10 (ngay 30) 2" xfId="2153"/>
    <cellStyle name="T_Book1_phu luc tong ket tinh hinh TH giai doan 03-10 (ngay 30)_!1 1 bao cao giao KH ve HTCMT vung TNB   12-12-2011" xfId="2154"/>
    <cellStyle name="T_Book1_phu luc tong ket tinh hinh TH giai doan 03-10 (ngay 30)_!1 1 bao cao giao KH ve HTCMT vung TNB   12-12-2011 2" xfId="2155"/>
    <cellStyle name="T_Book1_phu luc tong ket tinh hinh TH giai doan 03-10 (ngay 30)_KH TPCP vung TNB (03-1-2012)" xfId="2156"/>
    <cellStyle name="T_Book1_phu luc tong ket tinh hinh TH giai doan 03-10 (ngay 30)_KH TPCP vung TNB (03-1-2012) 2" xfId="2157"/>
    <cellStyle name="T_Book1_TH ung tren 70%-Ra soat phap ly-8-6 (dung de chuyen vao vu TH)" xfId="2158"/>
    <cellStyle name="T_Book1_TH ung tren 70%-Ra soat phap ly-8-6 (dung de chuyen vao vu TH) 2" xfId="2159"/>
    <cellStyle name="T_Book1_TH ung tren 70%-Ra soat phap ly-8-6 (dung de chuyen vao vu TH)_!1 1 bao cao giao KH ve HTCMT vung TNB   12-12-2011" xfId="2160"/>
    <cellStyle name="T_Book1_TH ung tren 70%-Ra soat phap ly-8-6 (dung de chuyen vao vu TH)_!1 1 bao cao giao KH ve HTCMT vung TNB   12-12-2011 2" xfId="2161"/>
    <cellStyle name="T_Book1_TH ung tren 70%-Ra soat phap ly-8-6 (dung de chuyen vao vu TH)_Bieu4HTMT" xfId="2162"/>
    <cellStyle name="T_Book1_TH ung tren 70%-Ra soat phap ly-8-6 (dung de chuyen vao vu TH)_Bieu4HTMT 2" xfId="2163"/>
    <cellStyle name="T_Book1_TH ung tren 70%-Ra soat phap ly-8-6 (dung de chuyen vao vu TH)_KH TPCP vung TNB (03-1-2012)" xfId="2164"/>
    <cellStyle name="T_Book1_TH ung tren 70%-Ra soat phap ly-8-6 (dung de chuyen vao vu TH)_KH TPCP vung TNB (03-1-2012) 2" xfId="2165"/>
    <cellStyle name="T_Book1_TH y kien LD_KH 2010 Ca Nuoc 22-9-2011-Gui ca Vu" xfId="2166"/>
    <cellStyle name="T_Book1_TH y kien LD_KH 2010 Ca Nuoc 22-9-2011-Gui ca Vu 2" xfId="2167"/>
    <cellStyle name="T_Book1_TH y kien LD_KH 2010 Ca Nuoc 22-9-2011-Gui ca Vu_!1 1 bao cao giao KH ve HTCMT vung TNB   12-12-2011" xfId="2168"/>
    <cellStyle name="T_Book1_TH y kien LD_KH 2010 Ca Nuoc 22-9-2011-Gui ca Vu_!1 1 bao cao giao KH ve HTCMT vung TNB   12-12-2011 2" xfId="2169"/>
    <cellStyle name="T_Book1_TH y kien LD_KH 2010 Ca Nuoc 22-9-2011-Gui ca Vu_Bieu4HTMT" xfId="2170"/>
    <cellStyle name="T_Book1_TH y kien LD_KH 2010 Ca Nuoc 22-9-2011-Gui ca Vu_Bieu4HTMT 2" xfId="2171"/>
    <cellStyle name="T_Book1_TH y kien LD_KH 2010 Ca Nuoc 22-9-2011-Gui ca Vu_KH TPCP vung TNB (03-1-2012)" xfId="2172"/>
    <cellStyle name="T_Book1_TH y kien LD_KH 2010 Ca Nuoc 22-9-2011-Gui ca Vu_KH TPCP vung TNB (03-1-2012) 2" xfId="2173"/>
    <cellStyle name="T_Book1_Thiet bi" xfId="2174"/>
    <cellStyle name="T_Book1_Thiet bi 2" xfId="2175"/>
    <cellStyle name="T_Book1_TN - Ho tro khac 2011" xfId="2176"/>
    <cellStyle name="T_Book1_TN - Ho tro khac 2011 2" xfId="2177"/>
    <cellStyle name="T_Book1_TN - Ho tro khac 2011_!1 1 bao cao giao KH ve HTCMT vung TNB   12-12-2011" xfId="2178"/>
    <cellStyle name="T_Book1_TN - Ho tro khac 2011_!1 1 bao cao giao KH ve HTCMT vung TNB   12-12-2011 2" xfId="2179"/>
    <cellStyle name="T_Book1_TN - Ho tro khac 2011_Bieu4HTMT" xfId="2180"/>
    <cellStyle name="T_Book1_TN - Ho tro khac 2011_Bieu4HTMT 2" xfId="2181"/>
    <cellStyle name="T_Book1_TN - Ho tro khac 2011_KH TPCP vung TNB (03-1-2012)" xfId="2182"/>
    <cellStyle name="T_Book1_TN - Ho tro khac 2011_KH TPCP vung TNB (03-1-2012) 2" xfId="2183"/>
    <cellStyle name="T_Book1_ung truoc 2011 NSTW Thanh Hoa + Nge An gui Thu 12-5" xfId="2184"/>
    <cellStyle name="T_Book1_ung truoc 2011 NSTW Thanh Hoa + Nge An gui Thu 12-5 2" xfId="2185"/>
    <cellStyle name="T_Book1_ung truoc 2011 NSTW Thanh Hoa + Nge An gui Thu 12-5_!1 1 bao cao giao KH ve HTCMT vung TNB   12-12-2011" xfId="2186"/>
    <cellStyle name="T_Book1_ung truoc 2011 NSTW Thanh Hoa + Nge An gui Thu 12-5_!1 1 bao cao giao KH ve HTCMT vung TNB   12-12-2011 2" xfId="2187"/>
    <cellStyle name="T_Book1_ung truoc 2011 NSTW Thanh Hoa + Nge An gui Thu 12-5_Bieu4HTMT" xfId="2188"/>
    <cellStyle name="T_Book1_ung truoc 2011 NSTW Thanh Hoa + Nge An gui Thu 12-5_Bieu4HTMT 2" xfId="2189"/>
    <cellStyle name="T_Book1_ung truoc 2011 NSTW Thanh Hoa + Nge An gui Thu 12-5_Bieu4HTMT_!1 1 bao cao giao KH ve HTCMT vung TNB   12-12-2011" xfId="2190"/>
    <cellStyle name="T_Book1_ung truoc 2011 NSTW Thanh Hoa + Nge An gui Thu 12-5_Bieu4HTMT_!1 1 bao cao giao KH ve HTCMT vung TNB   12-12-2011 2" xfId="2191"/>
    <cellStyle name="T_Book1_ung truoc 2011 NSTW Thanh Hoa + Nge An gui Thu 12-5_Bieu4HTMT_KH TPCP vung TNB (03-1-2012)" xfId="2192"/>
    <cellStyle name="T_Book1_ung truoc 2011 NSTW Thanh Hoa + Nge An gui Thu 12-5_Bieu4HTMT_KH TPCP vung TNB (03-1-2012) 2" xfId="2193"/>
    <cellStyle name="T_Book1_ung truoc 2011 NSTW Thanh Hoa + Nge An gui Thu 12-5_KH TPCP vung TNB (03-1-2012)" xfId="2194"/>
    <cellStyle name="T_Book1_ung truoc 2011 NSTW Thanh Hoa + Nge An gui Thu 12-5_KH TPCP vung TNB (03-1-2012) 2" xfId="2195"/>
    <cellStyle name="T_Book1_ÿÿÿÿÿ" xfId="2196"/>
    <cellStyle name="T_Book1_ÿÿÿÿÿ 2" xfId="2197"/>
    <cellStyle name="T_Chuan bi dau tu nam 2008" xfId="2198"/>
    <cellStyle name="T_Chuan bi dau tu nam 2008 2" xfId="2199"/>
    <cellStyle name="T_Chuan bi dau tu nam 2008_!1 1 bao cao giao KH ve HTCMT vung TNB   12-12-2011" xfId="2200"/>
    <cellStyle name="T_Chuan bi dau tu nam 2008_!1 1 bao cao giao KH ve HTCMT vung TNB   12-12-2011 2" xfId="2201"/>
    <cellStyle name="T_Chuan bi dau tu nam 2008_KH TPCP vung TNB (03-1-2012)" xfId="2202"/>
    <cellStyle name="T_Chuan bi dau tu nam 2008_KH TPCP vung TNB (03-1-2012) 2" xfId="2203"/>
    <cellStyle name="T_Copy of Bao cao  XDCB 7 thang nam 2008_So KH&amp;DT SUA" xfId="2204"/>
    <cellStyle name="T_Copy of Bao cao  XDCB 7 thang nam 2008_So KH&amp;DT SUA 2" xfId="2205"/>
    <cellStyle name="T_Copy of Bao cao  XDCB 7 thang nam 2008_So KH&amp;DT SUA_!1 1 bao cao giao KH ve HTCMT vung TNB   12-12-2011" xfId="2206"/>
    <cellStyle name="T_Copy of Bao cao  XDCB 7 thang nam 2008_So KH&amp;DT SUA_!1 1 bao cao giao KH ve HTCMT vung TNB   12-12-2011 2" xfId="2207"/>
    <cellStyle name="T_Copy of Bao cao  XDCB 7 thang nam 2008_So KH&amp;DT SUA_KH TPCP vung TNB (03-1-2012)" xfId="2208"/>
    <cellStyle name="T_Copy of Bao cao  XDCB 7 thang nam 2008_So KH&amp;DT SUA_KH TPCP vung TNB (03-1-2012) 2" xfId="2209"/>
    <cellStyle name="T_CPK" xfId="2210"/>
    <cellStyle name="T_CPK 2" xfId="2211"/>
    <cellStyle name="T_CPK_!1 1 bao cao giao KH ve HTCMT vung TNB   12-12-2011" xfId="2212"/>
    <cellStyle name="T_CPK_!1 1 bao cao giao KH ve HTCMT vung TNB   12-12-2011 2" xfId="2213"/>
    <cellStyle name="T_CPK_Bieu4HTMT" xfId="2214"/>
    <cellStyle name="T_CPK_Bieu4HTMT 2" xfId="2215"/>
    <cellStyle name="T_CPK_Bieu4HTMT_!1 1 bao cao giao KH ve HTCMT vung TNB   12-12-2011" xfId="2216"/>
    <cellStyle name="T_CPK_Bieu4HTMT_!1 1 bao cao giao KH ve HTCMT vung TNB   12-12-2011 2" xfId="2217"/>
    <cellStyle name="T_CPK_Bieu4HTMT_KH TPCP vung TNB (03-1-2012)" xfId="2218"/>
    <cellStyle name="T_CPK_Bieu4HTMT_KH TPCP vung TNB (03-1-2012) 2" xfId="2219"/>
    <cellStyle name="T_CPK_KH TPCP vung TNB (03-1-2012)" xfId="2220"/>
    <cellStyle name="T_CPK_KH TPCP vung TNB (03-1-2012) 2" xfId="2221"/>
    <cellStyle name="T_CTMTQG 2008" xfId="2222"/>
    <cellStyle name="T_CTMTQG 2008 2" xfId="2223"/>
    <cellStyle name="T_CTMTQG 2008_!1 1 bao cao giao KH ve HTCMT vung TNB   12-12-2011" xfId="2224"/>
    <cellStyle name="T_CTMTQG 2008_!1 1 bao cao giao KH ve HTCMT vung TNB   12-12-2011 2" xfId="2225"/>
    <cellStyle name="T_CTMTQG 2008_Bieu mau danh muc du an thuoc CTMTQG nam 2008" xfId="2226"/>
    <cellStyle name="T_CTMTQG 2008_Bieu mau danh muc du an thuoc CTMTQG nam 2008 2" xfId="2227"/>
    <cellStyle name="T_CTMTQG 2008_Bieu mau danh muc du an thuoc CTMTQG nam 2008_!1 1 bao cao giao KH ve HTCMT vung TNB   12-12-2011" xfId="2228"/>
    <cellStyle name="T_CTMTQG 2008_Bieu mau danh muc du an thuoc CTMTQG nam 2008_!1 1 bao cao giao KH ve HTCMT vung TNB   12-12-2011 2" xfId="2229"/>
    <cellStyle name="T_CTMTQG 2008_Bieu mau danh muc du an thuoc CTMTQG nam 2008_KH TPCP vung TNB (03-1-2012)" xfId="2230"/>
    <cellStyle name="T_CTMTQG 2008_Bieu mau danh muc du an thuoc CTMTQG nam 2008_KH TPCP vung TNB (03-1-2012) 2" xfId="2231"/>
    <cellStyle name="T_CTMTQG 2008_Hi-Tong hop KQ phan bo KH nam 08- LD fong giao 15-11-08" xfId="2232"/>
    <cellStyle name="T_CTMTQG 2008_Hi-Tong hop KQ phan bo KH nam 08- LD fong giao 15-11-08 2" xfId="2233"/>
    <cellStyle name="T_CTMTQG 2008_Hi-Tong hop KQ phan bo KH nam 08- LD fong giao 15-11-08_!1 1 bao cao giao KH ve HTCMT vung TNB   12-12-2011" xfId="2234"/>
    <cellStyle name="T_CTMTQG 2008_Hi-Tong hop KQ phan bo KH nam 08- LD fong giao 15-11-08_!1 1 bao cao giao KH ve HTCMT vung TNB   12-12-2011 2" xfId="2235"/>
    <cellStyle name="T_CTMTQG 2008_Hi-Tong hop KQ phan bo KH nam 08- LD fong giao 15-11-08_KH TPCP vung TNB (03-1-2012)" xfId="2236"/>
    <cellStyle name="T_CTMTQG 2008_Hi-Tong hop KQ phan bo KH nam 08- LD fong giao 15-11-08_KH TPCP vung TNB (03-1-2012) 2" xfId="2237"/>
    <cellStyle name="T_CTMTQG 2008_Ket qua thuc hien nam 2008" xfId="2238"/>
    <cellStyle name="T_CTMTQG 2008_Ket qua thuc hien nam 2008 2" xfId="2239"/>
    <cellStyle name="T_CTMTQG 2008_Ket qua thuc hien nam 2008_!1 1 bao cao giao KH ve HTCMT vung TNB   12-12-2011" xfId="2240"/>
    <cellStyle name="T_CTMTQG 2008_Ket qua thuc hien nam 2008_!1 1 bao cao giao KH ve HTCMT vung TNB   12-12-2011 2" xfId="2241"/>
    <cellStyle name="T_CTMTQG 2008_Ket qua thuc hien nam 2008_KH TPCP vung TNB (03-1-2012)" xfId="2242"/>
    <cellStyle name="T_CTMTQG 2008_Ket qua thuc hien nam 2008_KH TPCP vung TNB (03-1-2012) 2" xfId="2243"/>
    <cellStyle name="T_CTMTQG 2008_KH TPCP vung TNB (03-1-2012)" xfId="2244"/>
    <cellStyle name="T_CTMTQG 2008_KH TPCP vung TNB (03-1-2012) 2" xfId="2245"/>
    <cellStyle name="T_CTMTQG 2008_KH XDCB_2008 lan 1" xfId="2246"/>
    <cellStyle name="T_CTMTQG 2008_KH XDCB_2008 lan 1 2" xfId="2247"/>
    <cellStyle name="T_CTMTQG 2008_KH XDCB_2008 lan 1 sua ngay 27-10" xfId="2248"/>
    <cellStyle name="T_CTMTQG 2008_KH XDCB_2008 lan 1 sua ngay 27-10 2" xfId="2249"/>
    <cellStyle name="T_CTMTQG 2008_KH XDCB_2008 lan 1 sua ngay 27-10_!1 1 bao cao giao KH ve HTCMT vung TNB   12-12-2011" xfId="2250"/>
    <cellStyle name="T_CTMTQG 2008_KH XDCB_2008 lan 1 sua ngay 27-10_!1 1 bao cao giao KH ve HTCMT vung TNB   12-12-2011 2" xfId="2251"/>
    <cellStyle name="T_CTMTQG 2008_KH XDCB_2008 lan 1 sua ngay 27-10_KH TPCP vung TNB (03-1-2012)" xfId="2252"/>
    <cellStyle name="T_CTMTQG 2008_KH XDCB_2008 lan 1 sua ngay 27-10_KH TPCP vung TNB (03-1-2012) 2" xfId="2253"/>
    <cellStyle name="T_CTMTQG 2008_KH XDCB_2008 lan 1_!1 1 bao cao giao KH ve HTCMT vung TNB   12-12-2011" xfId="2254"/>
    <cellStyle name="T_CTMTQG 2008_KH XDCB_2008 lan 1_!1 1 bao cao giao KH ve HTCMT vung TNB   12-12-2011 2" xfId="2255"/>
    <cellStyle name="T_CTMTQG 2008_KH XDCB_2008 lan 1_KH TPCP vung TNB (03-1-2012)" xfId="2256"/>
    <cellStyle name="T_CTMTQG 2008_KH XDCB_2008 lan 1_KH TPCP vung TNB (03-1-2012) 2" xfId="2257"/>
    <cellStyle name="T_CTMTQG 2008_KH XDCB_2008 lan 2 sua ngay 10-11" xfId="2258"/>
    <cellStyle name="T_CTMTQG 2008_KH XDCB_2008 lan 2 sua ngay 10-11 2" xfId="2259"/>
    <cellStyle name="T_CTMTQG 2008_KH XDCB_2008 lan 2 sua ngay 10-11_!1 1 bao cao giao KH ve HTCMT vung TNB   12-12-2011" xfId="2260"/>
    <cellStyle name="T_CTMTQG 2008_KH XDCB_2008 lan 2 sua ngay 10-11_!1 1 bao cao giao KH ve HTCMT vung TNB   12-12-2011 2" xfId="2261"/>
    <cellStyle name="T_CTMTQG 2008_KH XDCB_2008 lan 2 sua ngay 10-11_KH TPCP vung TNB (03-1-2012)" xfId="2262"/>
    <cellStyle name="T_CTMTQG 2008_KH XDCB_2008 lan 2 sua ngay 10-11_KH TPCP vung TNB (03-1-2012) 2" xfId="2263"/>
    <cellStyle name="T_danh muc chuan bi dau tu 2011 ngay 07-6-2011" xfId="2264"/>
    <cellStyle name="T_danh muc chuan bi dau tu 2011 ngay 07-6-2011 2" xfId="2265"/>
    <cellStyle name="T_danh muc chuan bi dau tu 2011 ngay 07-6-2011_!1 1 bao cao giao KH ve HTCMT vung TNB   12-12-2011" xfId="2266"/>
    <cellStyle name="T_danh muc chuan bi dau tu 2011 ngay 07-6-2011_!1 1 bao cao giao KH ve HTCMT vung TNB   12-12-2011 2" xfId="2267"/>
    <cellStyle name="T_danh muc chuan bi dau tu 2011 ngay 07-6-2011_KH TPCP vung TNB (03-1-2012)" xfId="2268"/>
    <cellStyle name="T_danh muc chuan bi dau tu 2011 ngay 07-6-2011_KH TPCP vung TNB (03-1-2012) 2" xfId="2269"/>
    <cellStyle name="T_Danh muc pbo nguon von XSKT, XDCB nam 2009 chuyen qua nam 2010" xfId="2270"/>
    <cellStyle name="T_Danh muc pbo nguon von XSKT, XDCB nam 2009 chuyen qua nam 2010 2" xfId="2271"/>
    <cellStyle name="T_Danh muc pbo nguon von XSKT, XDCB nam 2009 chuyen qua nam 2010_!1 1 bao cao giao KH ve HTCMT vung TNB   12-12-2011" xfId="2272"/>
    <cellStyle name="T_Danh muc pbo nguon von XSKT, XDCB nam 2009 chuyen qua nam 2010_!1 1 bao cao giao KH ve HTCMT vung TNB   12-12-2011 2" xfId="2273"/>
    <cellStyle name="T_Danh muc pbo nguon von XSKT, XDCB nam 2009 chuyen qua nam 2010_KH TPCP vung TNB (03-1-2012)" xfId="2274"/>
    <cellStyle name="T_Danh muc pbo nguon von XSKT, XDCB nam 2009 chuyen qua nam 2010_KH TPCP vung TNB (03-1-2012) 2" xfId="2275"/>
    <cellStyle name="T_dieu chinh KH 2011 ngay 26-5-2011111" xfId="2276"/>
    <cellStyle name="T_dieu chinh KH 2011 ngay 26-5-2011111 2" xfId="2277"/>
    <cellStyle name="T_dieu chinh KH 2011 ngay 26-5-2011111_!1 1 bao cao giao KH ve HTCMT vung TNB   12-12-2011" xfId="2278"/>
    <cellStyle name="T_dieu chinh KH 2011 ngay 26-5-2011111_!1 1 bao cao giao KH ve HTCMT vung TNB   12-12-2011 2" xfId="2279"/>
    <cellStyle name="T_dieu chinh KH 2011 ngay 26-5-2011111_KH TPCP vung TNB (03-1-2012)" xfId="2280"/>
    <cellStyle name="T_dieu chinh KH 2011 ngay 26-5-2011111_KH TPCP vung TNB (03-1-2012) 2" xfId="2281"/>
    <cellStyle name="T_DS KCH PHAN BO VON NSDP NAM 2010" xfId="2282"/>
    <cellStyle name="T_DS KCH PHAN BO VON NSDP NAM 2010 2" xfId="2283"/>
    <cellStyle name="T_DS KCH PHAN BO VON NSDP NAM 2010_!1 1 bao cao giao KH ve HTCMT vung TNB   12-12-2011" xfId="2284"/>
    <cellStyle name="T_DS KCH PHAN BO VON NSDP NAM 2010_!1 1 bao cao giao KH ve HTCMT vung TNB   12-12-2011 2" xfId="2285"/>
    <cellStyle name="T_DS KCH PHAN BO VON NSDP NAM 2010_KH TPCP vung TNB (03-1-2012)" xfId="2286"/>
    <cellStyle name="T_DS KCH PHAN BO VON NSDP NAM 2010_KH TPCP vung TNB (03-1-2012) 2" xfId="2287"/>
    <cellStyle name="T_Du an khoi cong moi nam 2010" xfId="2288"/>
    <cellStyle name="T_Du an khoi cong moi nam 2010 2" xfId="2289"/>
    <cellStyle name="T_Du an khoi cong moi nam 2010_!1 1 bao cao giao KH ve HTCMT vung TNB   12-12-2011" xfId="2290"/>
    <cellStyle name="T_Du an khoi cong moi nam 2010_!1 1 bao cao giao KH ve HTCMT vung TNB   12-12-2011 2" xfId="2291"/>
    <cellStyle name="T_Du an khoi cong moi nam 2010_KH TPCP vung TNB (03-1-2012)" xfId="2292"/>
    <cellStyle name="T_Du an khoi cong moi nam 2010_KH TPCP vung TNB (03-1-2012) 2" xfId="2293"/>
    <cellStyle name="T_DU AN TKQH VA CHUAN BI DAU TU NAM 2007 sua ngay 9-11" xfId="2294"/>
    <cellStyle name="T_DU AN TKQH VA CHUAN BI DAU TU NAM 2007 sua ngay 9-11 2" xfId="2295"/>
    <cellStyle name="T_DU AN TKQH VA CHUAN BI DAU TU NAM 2007 sua ngay 9-11_!1 1 bao cao giao KH ve HTCMT vung TNB   12-12-2011" xfId="2296"/>
    <cellStyle name="T_DU AN TKQH VA CHUAN BI DAU TU NAM 2007 sua ngay 9-11_!1 1 bao cao giao KH ve HTCMT vung TNB   12-12-2011 2" xfId="2297"/>
    <cellStyle name="T_DU AN TKQH VA CHUAN BI DAU TU NAM 2007 sua ngay 9-11_Bieu mau danh muc du an thuoc CTMTQG nam 2008" xfId="2298"/>
    <cellStyle name="T_DU AN TKQH VA CHUAN BI DAU TU NAM 2007 sua ngay 9-11_Bieu mau danh muc du an thuoc CTMTQG nam 2008 2" xfId="2299"/>
    <cellStyle name="T_DU AN TKQH VA CHUAN BI DAU TU NAM 2007 sua ngay 9-11_Bieu mau danh muc du an thuoc CTMTQG nam 2008_!1 1 bao cao giao KH ve HTCMT vung TNB   12-12-2011" xfId="2300"/>
    <cellStyle name="T_DU AN TKQH VA CHUAN BI DAU TU NAM 2007 sua ngay 9-11_Bieu mau danh muc du an thuoc CTMTQG nam 2008_!1 1 bao cao giao KH ve HTCMT vung TNB   12-12-2011 2" xfId="2301"/>
    <cellStyle name="T_DU AN TKQH VA CHUAN BI DAU TU NAM 2007 sua ngay 9-11_Bieu mau danh muc du an thuoc CTMTQG nam 2008_KH TPCP vung TNB (03-1-2012)" xfId="2302"/>
    <cellStyle name="T_DU AN TKQH VA CHUAN BI DAU TU NAM 2007 sua ngay 9-11_Bieu mau danh muc du an thuoc CTMTQG nam 2008_KH TPCP vung TNB (03-1-2012) 2" xfId="2303"/>
    <cellStyle name="T_DU AN TKQH VA CHUAN BI DAU TU NAM 2007 sua ngay 9-11_Du an khoi cong moi nam 2010" xfId="2304"/>
    <cellStyle name="T_DU AN TKQH VA CHUAN BI DAU TU NAM 2007 sua ngay 9-11_Du an khoi cong moi nam 2010 2" xfId="2305"/>
    <cellStyle name="T_DU AN TKQH VA CHUAN BI DAU TU NAM 2007 sua ngay 9-11_Du an khoi cong moi nam 2010_!1 1 bao cao giao KH ve HTCMT vung TNB   12-12-2011" xfId="2306"/>
    <cellStyle name="T_DU AN TKQH VA CHUAN BI DAU TU NAM 2007 sua ngay 9-11_Du an khoi cong moi nam 2010_!1 1 bao cao giao KH ve HTCMT vung TNB   12-12-2011 2" xfId="2307"/>
    <cellStyle name="T_DU AN TKQH VA CHUAN BI DAU TU NAM 2007 sua ngay 9-11_Du an khoi cong moi nam 2010_KH TPCP vung TNB (03-1-2012)" xfId="2308"/>
    <cellStyle name="T_DU AN TKQH VA CHUAN BI DAU TU NAM 2007 sua ngay 9-11_Du an khoi cong moi nam 2010_KH TPCP vung TNB (03-1-2012) 2" xfId="2309"/>
    <cellStyle name="T_DU AN TKQH VA CHUAN BI DAU TU NAM 2007 sua ngay 9-11_Ket qua phan bo von nam 2008" xfId="2310"/>
    <cellStyle name="T_DU AN TKQH VA CHUAN BI DAU TU NAM 2007 sua ngay 9-11_Ket qua phan bo von nam 2008 2" xfId="2311"/>
    <cellStyle name="T_DU AN TKQH VA CHUAN BI DAU TU NAM 2007 sua ngay 9-11_Ket qua phan bo von nam 2008_!1 1 bao cao giao KH ve HTCMT vung TNB   12-12-2011" xfId="2312"/>
    <cellStyle name="T_DU AN TKQH VA CHUAN BI DAU TU NAM 2007 sua ngay 9-11_Ket qua phan bo von nam 2008_!1 1 bao cao giao KH ve HTCMT vung TNB   12-12-2011 2" xfId="2313"/>
    <cellStyle name="T_DU AN TKQH VA CHUAN BI DAU TU NAM 2007 sua ngay 9-11_Ket qua phan bo von nam 2008_KH TPCP vung TNB (03-1-2012)" xfId="2314"/>
    <cellStyle name="T_DU AN TKQH VA CHUAN BI DAU TU NAM 2007 sua ngay 9-11_Ket qua phan bo von nam 2008_KH TPCP vung TNB (03-1-2012) 2" xfId="2315"/>
    <cellStyle name="T_DU AN TKQH VA CHUAN BI DAU TU NAM 2007 sua ngay 9-11_KH TPCP vung TNB (03-1-2012)" xfId="2316"/>
    <cellStyle name="T_DU AN TKQH VA CHUAN BI DAU TU NAM 2007 sua ngay 9-11_KH TPCP vung TNB (03-1-2012) 2" xfId="2317"/>
    <cellStyle name="T_DU AN TKQH VA CHUAN BI DAU TU NAM 2007 sua ngay 9-11_KH XDCB_2008 lan 2 sua ngay 10-11" xfId="2318"/>
    <cellStyle name="T_DU AN TKQH VA CHUAN BI DAU TU NAM 2007 sua ngay 9-11_KH XDCB_2008 lan 2 sua ngay 10-11 2" xfId="2319"/>
    <cellStyle name="T_DU AN TKQH VA CHUAN BI DAU TU NAM 2007 sua ngay 9-11_KH XDCB_2008 lan 2 sua ngay 10-11_!1 1 bao cao giao KH ve HTCMT vung TNB   12-12-2011" xfId="2320"/>
    <cellStyle name="T_DU AN TKQH VA CHUAN BI DAU TU NAM 2007 sua ngay 9-11_KH XDCB_2008 lan 2 sua ngay 10-11_!1 1 bao cao giao KH ve HTCMT vung TNB   12-12-2011 2" xfId="2321"/>
    <cellStyle name="T_DU AN TKQH VA CHUAN BI DAU TU NAM 2007 sua ngay 9-11_KH XDCB_2008 lan 2 sua ngay 10-11_KH TPCP vung TNB (03-1-2012)" xfId="2322"/>
    <cellStyle name="T_DU AN TKQH VA CHUAN BI DAU TU NAM 2007 sua ngay 9-11_KH XDCB_2008 lan 2 sua ngay 10-11_KH TPCP vung TNB (03-1-2012) 2" xfId="2323"/>
    <cellStyle name="T_du toan dieu chinh  20-8-2006" xfId="2324"/>
    <cellStyle name="T_du toan dieu chinh  20-8-2006 2" xfId="2325"/>
    <cellStyle name="T_du toan dieu chinh  20-8-2006_!1 1 bao cao giao KH ve HTCMT vung TNB   12-12-2011" xfId="2326"/>
    <cellStyle name="T_du toan dieu chinh  20-8-2006_!1 1 bao cao giao KH ve HTCMT vung TNB   12-12-2011 2" xfId="2327"/>
    <cellStyle name="T_du toan dieu chinh  20-8-2006_Bieu4HTMT" xfId="2328"/>
    <cellStyle name="T_du toan dieu chinh  20-8-2006_Bieu4HTMT 2" xfId="2329"/>
    <cellStyle name="T_du toan dieu chinh  20-8-2006_Bieu4HTMT_!1 1 bao cao giao KH ve HTCMT vung TNB   12-12-2011" xfId="2330"/>
    <cellStyle name="T_du toan dieu chinh  20-8-2006_Bieu4HTMT_!1 1 bao cao giao KH ve HTCMT vung TNB   12-12-2011 2" xfId="2331"/>
    <cellStyle name="T_du toan dieu chinh  20-8-2006_Bieu4HTMT_KH TPCP vung TNB (03-1-2012)" xfId="2332"/>
    <cellStyle name="T_du toan dieu chinh  20-8-2006_Bieu4HTMT_KH TPCP vung TNB (03-1-2012) 2" xfId="2333"/>
    <cellStyle name="T_du toan dieu chinh  20-8-2006_KH TPCP vung TNB (03-1-2012)" xfId="2334"/>
    <cellStyle name="T_du toan dieu chinh  20-8-2006_KH TPCP vung TNB (03-1-2012) 2" xfId="2335"/>
    <cellStyle name="T_giao KH 2011 ngay 10-12-2010" xfId="2336"/>
    <cellStyle name="T_giao KH 2011 ngay 10-12-2010 2" xfId="2337"/>
    <cellStyle name="T_giao KH 2011 ngay 10-12-2010_!1 1 bao cao giao KH ve HTCMT vung TNB   12-12-2011" xfId="2338"/>
    <cellStyle name="T_giao KH 2011 ngay 10-12-2010_!1 1 bao cao giao KH ve HTCMT vung TNB   12-12-2011 2" xfId="2339"/>
    <cellStyle name="T_giao KH 2011 ngay 10-12-2010_KH TPCP vung TNB (03-1-2012)" xfId="2340"/>
    <cellStyle name="T_giao KH 2011 ngay 10-12-2010_KH TPCP vung TNB (03-1-2012) 2" xfId="2341"/>
    <cellStyle name="T_Ht-PTq1-03" xfId="2342"/>
    <cellStyle name="T_Ht-PTq1-03 2" xfId="2343"/>
    <cellStyle name="T_Ht-PTq1-03_!1 1 bao cao giao KH ve HTCMT vung TNB   12-12-2011" xfId="2344"/>
    <cellStyle name="T_Ht-PTq1-03_!1 1 bao cao giao KH ve HTCMT vung TNB   12-12-2011 2" xfId="2345"/>
    <cellStyle name="T_Ht-PTq1-03_kien giang 2" xfId="2346"/>
    <cellStyle name="T_Ht-PTq1-03_kien giang 2 2" xfId="2347"/>
    <cellStyle name="T_Ke hoach KTXH  nam 2009_PKT thang 11 nam 2008" xfId="2348"/>
    <cellStyle name="T_Ke hoach KTXH  nam 2009_PKT thang 11 nam 2008 2" xfId="2349"/>
    <cellStyle name="T_Ke hoach KTXH  nam 2009_PKT thang 11 nam 2008_!1 1 bao cao giao KH ve HTCMT vung TNB   12-12-2011" xfId="2350"/>
    <cellStyle name="T_Ke hoach KTXH  nam 2009_PKT thang 11 nam 2008_!1 1 bao cao giao KH ve HTCMT vung TNB   12-12-2011 2" xfId="2351"/>
    <cellStyle name="T_Ke hoach KTXH  nam 2009_PKT thang 11 nam 2008_KH TPCP vung TNB (03-1-2012)" xfId="2352"/>
    <cellStyle name="T_Ke hoach KTXH  nam 2009_PKT thang 11 nam 2008_KH TPCP vung TNB (03-1-2012) 2" xfId="2353"/>
    <cellStyle name="T_Ket qua dau thau" xfId="2354"/>
    <cellStyle name="T_Ket qua dau thau 2" xfId="2355"/>
    <cellStyle name="T_Ket qua dau thau_!1 1 bao cao giao KH ve HTCMT vung TNB   12-12-2011" xfId="2356"/>
    <cellStyle name="T_Ket qua dau thau_!1 1 bao cao giao KH ve HTCMT vung TNB   12-12-2011 2" xfId="2357"/>
    <cellStyle name="T_Ket qua dau thau_KH TPCP vung TNB (03-1-2012)" xfId="2358"/>
    <cellStyle name="T_Ket qua dau thau_KH TPCP vung TNB (03-1-2012) 2" xfId="2359"/>
    <cellStyle name="T_Ket qua phan bo von nam 2008" xfId="2360"/>
    <cellStyle name="T_Ket qua phan bo von nam 2008 2" xfId="2361"/>
    <cellStyle name="T_Ket qua phan bo von nam 2008_!1 1 bao cao giao KH ve HTCMT vung TNB   12-12-2011" xfId="2362"/>
    <cellStyle name="T_Ket qua phan bo von nam 2008_!1 1 bao cao giao KH ve HTCMT vung TNB   12-12-2011 2" xfId="2363"/>
    <cellStyle name="T_Ket qua phan bo von nam 2008_KH TPCP vung TNB (03-1-2012)" xfId="2364"/>
    <cellStyle name="T_Ket qua phan bo von nam 2008_KH TPCP vung TNB (03-1-2012) 2" xfId="2365"/>
    <cellStyle name="T_KH TPCP vung TNB (03-1-2012)" xfId="2366"/>
    <cellStyle name="T_KH TPCP vung TNB (03-1-2012) 2" xfId="2367"/>
    <cellStyle name="T_KH XDCB_2008 lan 2 sua ngay 10-11" xfId="2368"/>
    <cellStyle name="T_KH XDCB_2008 lan 2 sua ngay 10-11 2" xfId="2369"/>
    <cellStyle name="T_KH XDCB_2008 lan 2 sua ngay 10-11_!1 1 bao cao giao KH ve HTCMT vung TNB   12-12-2011" xfId="2370"/>
    <cellStyle name="T_KH XDCB_2008 lan 2 sua ngay 10-11_!1 1 bao cao giao KH ve HTCMT vung TNB   12-12-2011 2" xfId="2371"/>
    <cellStyle name="T_KH XDCB_2008 lan 2 sua ngay 10-11_KH TPCP vung TNB (03-1-2012)" xfId="2372"/>
    <cellStyle name="T_KH XDCB_2008 lan 2 sua ngay 10-11_KH TPCP vung TNB (03-1-2012) 2" xfId="2373"/>
    <cellStyle name="T_kien giang 2" xfId="2374"/>
    <cellStyle name="T_kien giang 2 2" xfId="2375"/>
    <cellStyle name="T_Me_Tri_6_07" xfId="2376"/>
    <cellStyle name="T_Me_Tri_6_07 2" xfId="2377"/>
    <cellStyle name="T_Me_Tri_6_07_!1 1 bao cao giao KH ve HTCMT vung TNB   12-12-2011" xfId="2378"/>
    <cellStyle name="T_Me_Tri_6_07_!1 1 bao cao giao KH ve HTCMT vung TNB   12-12-2011 2" xfId="2379"/>
    <cellStyle name="T_Me_Tri_6_07_Bieu4HTMT" xfId="2380"/>
    <cellStyle name="T_Me_Tri_6_07_Bieu4HTMT 2" xfId="2381"/>
    <cellStyle name="T_Me_Tri_6_07_Bieu4HTMT_!1 1 bao cao giao KH ve HTCMT vung TNB   12-12-2011" xfId="2382"/>
    <cellStyle name="T_Me_Tri_6_07_Bieu4HTMT_!1 1 bao cao giao KH ve HTCMT vung TNB   12-12-2011 2" xfId="2383"/>
    <cellStyle name="T_Me_Tri_6_07_Bieu4HTMT_KH TPCP vung TNB (03-1-2012)" xfId="2384"/>
    <cellStyle name="T_Me_Tri_6_07_Bieu4HTMT_KH TPCP vung TNB (03-1-2012) 2" xfId="2385"/>
    <cellStyle name="T_Me_Tri_6_07_KH TPCP vung TNB (03-1-2012)" xfId="2386"/>
    <cellStyle name="T_Me_Tri_6_07_KH TPCP vung TNB (03-1-2012) 2" xfId="2387"/>
    <cellStyle name="T_N2 thay dat (N1-1)" xfId="2388"/>
    <cellStyle name="T_N2 thay dat (N1-1) 2" xfId="2389"/>
    <cellStyle name="T_N2 thay dat (N1-1)_!1 1 bao cao giao KH ve HTCMT vung TNB   12-12-2011" xfId="2390"/>
    <cellStyle name="T_N2 thay dat (N1-1)_!1 1 bao cao giao KH ve HTCMT vung TNB   12-12-2011 2" xfId="2391"/>
    <cellStyle name="T_N2 thay dat (N1-1)_Bieu4HTMT" xfId="2392"/>
    <cellStyle name="T_N2 thay dat (N1-1)_Bieu4HTMT 2" xfId="2393"/>
    <cellStyle name="T_N2 thay dat (N1-1)_Bieu4HTMT_!1 1 bao cao giao KH ve HTCMT vung TNB   12-12-2011" xfId="2394"/>
    <cellStyle name="T_N2 thay dat (N1-1)_Bieu4HTMT_!1 1 bao cao giao KH ve HTCMT vung TNB   12-12-2011 2" xfId="2395"/>
    <cellStyle name="T_N2 thay dat (N1-1)_Bieu4HTMT_KH TPCP vung TNB (03-1-2012)" xfId="2396"/>
    <cellStyle name="T_N2 thay dat (N1-1)_Bieu4HTMT_KH TPCP vung TNB (03-1-2012) 2" xfId="2397"/>
    <cellStyle name="T_N2 thay dat (N1-1)_KH TPCP vung TNB (03-1-2012)" xfId="2398"/>
    <cellStyle name="T_N2 thay dat (N1-1)_KH TPCP vung TNB (03-1-2012) 2" xfId="2399"/>
    <cellStyle name="T_Phuong an can doi nam 2008" xfId="2400"/>
    <cellStyle name="T_Phuong an can doi nam 2008 2" xfId="2401"/>
    <cellStyle name="T_Phuong an can doi nam 2008_!1 1 bao cao giao KH ve HTCMT vung TNB   12-12-2011" xfId="2402"/>
    <cellStyle name="T_Phuong an can doi nam 2008_!1 1 bao cao giao KH ve HTCMT vung TNB   12-12-2011 2" xfId="2403"/>
    <cellStyle name="T_Phuong an can doi nam 2008_KH TPCP vung TNB (03-1-2012)" xfId="2404"/>
    <cellStyle name="T_Phuong an can doi nam 2008_KH TPCP vung TNB (03-1-2012) 2" xfId="2405"/>
    <cellStyle name="T_Seagame(BTL)" xfId="2406"/>
    <cellStyle name="T_Seagame(BTL) 2" xfId="2407"/>
    <cellStyle name="T_So GTVT" xfId="2408"/>
    <cellStyle name="T_So GTVT 2" xfId="2409"/>
    <cellStyle name="T_So GTVT_!1 1 bao cao giao KH ve HTCMT vung TNB   12-12-2011" xfId="2410"/>
    <cellStyle name="T_So GTVT_!1 1 bao cao giao KH ve HTCMT vung TNB   12-12-2011 2" xfId="2411"/>
    <cellStyle name="T_So GTVT_KH TPCP vung TNB (03-1-2012)" xfId="2412"/>
    <cellStyle name="T_So GTVT_KH TPCP vung TNB (03-1-2012) 2" xfId="2413"/>
    <cellStyle name="T_TDT + duong(8-5-07)" xfId="2414"/>
    <cellStyle name="T_TDT + duong(8-5-07) 2" xfId="2415"/>
    <cellStyle name="T_TDT + duong(8-5-07)_!1 1 bao cao giao KH ve HTCMT vung TNB   12-12-2011" xfId="2416"/>
    <cellStyle name="T_TDT + duong(8-5-07)_!1 1 bao cao giao KH ve HTCMT vung TNB   12-12-2011 2" xfId="2417"/>
    <cellStyle name="T_TDT + duong(8-5-07)_Bieu4HTMT" xfId="2418"/>
    <cellStyle name="T_TDT + duong(8-5-07)_Bieu4HTMT 2" xfId="2419"/>
    <cellStyle name="T_TDT + duong(8-5-07)_Bieu4HTMT_!1 1 bao cao giao KH ve HTCMT vung TNB   12-12-2011" xfId="2420"/>
    <cellStyle name="T_TDT + duong(8-5-07)_Bieu4HTMT_!1 1 bao cao giao KH ve HTCMT vung TNB   12-12-2011 2" xfId="2421"/>
    <cellStyle name="T_TDT + duong(8-5-07)_Bieu4HTMT_KH TPCP vung TNB (03-1-2012)" xfId="2422"/>
    <cellStyle name="T_TDT + duong(8-5-07)_Bieu4HTMT_KH TPCP vung TNB (03-1-2012) 2" xfId="2423"/>
    <cellStyle name="T_TDT + duong(8-5-07)_KH TPCP vung TNB (03-1-2012)" xfId="2424"/>
    <cellStyle name="T_TDT + duong(8-5-07)_KH TPCP vung TNB (03-1-2012) 2" xfId="2425"/>
    <cellStyle name="T_tham_tra_du_toan" xfId="2426"/>
    <cellStyle name="T_tham_tra_du_toan 2" xfId="2427"/>
    <cellStyle name="T_tham_tra_du_toan_!1 1 bao cao giao KH ve HTCMT vung TNB   12-12-2011" xfId="2428"/>
    <cellStyle name="T_tham_tra_du_toan_!1 1 bao cao giao KH ve HTCMT vung TNB   12-12-2011 2" xfId="2429"/>
    <cellStyle name="T_tham_tra_du_toan_Bieu4HTMT" xfId="2430"/>
    <cellStyle name="T_tham_tra_du_toan_Bieu4HTMT 2" xfId="2431"/>
    <cellStyle name="T_tham_tra_du_toan_Bieu4HTMT_!1 1 bao cao giao KH ve HTCMT vung TNB   12-12-2011" xfId="2432"/>
    <cellStyle name="T_tham_tra_du_toan_Bieu4HTMT_!1 1 bao cao giao KH ve HTCMT vung TNB   12-12-2011 2" xfId="2433"/>
    <cellStyle name="T_tham_tra_du_toan_Bieu4HTMT_KH TPCP vung TNB (03-1-2012)" xfId="2434"/>
    <cellStyle name="T_tham_tra_du_toan_Bieu4HTMT_KH TPCP vung TNB (03-1-2012) 2" xfId="2435"/>
    <cellStyle name="T_tham_tra_du_toan_KH TPCP vung TNB (03-1-2012)" xfId="2436"/>
    <cellStyle name="T_tham_tra_du_toan_KH TPCP vung TNB (03-1-2012) 2" xfId="2437"/>
    <cellStyle name="T_Thiet bi" xfId="2438"/>
    <cellStyle name="T_Thiet bi 2" xfId="2439"/>
    <cellStyle name="T_Thiet bi_!1 1 bao cao giao KH ve HTCMT vung TNB   12-12-2011" xfId="2440"/>
    <cellStyle name="T_Thiet bi_!1 1 bao cao giao KH ve HTCMT vung TNB   12-12-2011 2" xfId="2441"/>
    <cellStyle name="T_Thiet bi_Bieu4HTMT" xfId="2442"/>
    <cellStyle name="T_Thiet bi_Bieu4HTMT 2" xfId="2443"/>
    <cellStyle name="T_Thiet bi_Bieu4HTMT_!1 1 bao cao giao KH ve HTCMT vung TNB   12-12-2011" xfId="2444"/>
    <cellStyle name="T_Thiet bi_Bieu4HTMT_!1 1 bao cao giao KH ve HTCMT vung TNB   12-12-2011 2" xfId="2445"/>
    <cellStyle name="T_Thiet bi_Bieu4HTMT_KH TPCP vung TNB (03-1-2012)" xfId="2446"/>
    <cellStyle name="T_Thiet bi_Bieu4HTMT_KH TPCP vung TNB (03-1-2012) 2" xfId="2447"/>
    <cellStyle name="T_Thiet bi_KH TPCP vung TNB (03-1-2012)" xfId="2448"/>
    <cellStyle name="T_Thiet bi_KH TPCP vung TNB (03-1-2012) 2" xfId="2449"/>
    <cellStyle name="T_TK_HT" xfId="2450"/>
    <cellStyle name="T_TK_HT 2" xfId="2451"/>
    <cellStyle name="T_XDCB thang 12.2010" xfId="2452"/>
    <cellStyle name="T_XDCB thang 12.2010 2" xfId="2453"/>
    <cellStyle name="T_XDCB thang 12.2010_!1 1 bao cao giao KH ve HTCMT vung TNB   12-12-2011" xfId="2454"/>
    <cellStyle name="T_XDCB thang 12.2010_!1 1 bao cao giao KH ve HTCMT vung TNB   12-12-2011 2" xfId="2455"/>
    <cellStyle name="T_XDCB thang 12.2010_KH TPCP vung TNB (03-1-2012)" xfId="2456"/>
    <cellStyle name="T_XDCB thang 12.2010_KH TPCP vung TNB (03-1-2012) 2" xfId="2457"/>
    <cellStyle name="T_ÿÿÿÿÿ" xfId="2458"/>
    <cellStyle name="T_ÿÿÿÿÿ 2" xfId="2459"/>
    <cellStyle name="T_ÿÿÿÿÿ_!1 1 bao cao giao KH ve HTCMT vung TNB   12-12-2011" xfId="2460"/>
    <cellStyle name="T_ÿÿÿÿÿ_!1 1 bao cao giao KH ve HTCMT vung TNB   12-12-2011 2" xfId="2461"/>
    <cellStyle name="T_ÿÿÿÿÿ_Bieu mau cong trinh khoi cong moi 3-4" xfId="2462"/>
    <cellStyle name="T_ÿÿÿÿÿ_Bieu mau cong trinh khoi cong moi 3-4 2" xfId="2463"/>
    <cellStyle name="T_ÿÿÿÿÿ_Bieu mau cong trinh khoi cong moi 3-4_!1 1 bao cao giao KH ve HTCMT vung TNB   12-12-2011" xfId="2464"/>
    <cellStyle name="T_ÿÿÿÿÿ_Bieu mau cong trinh khoi cong moi 3-4_!1 1 bao cao giao KH ve HTCMT vung TNB   12-12-2011 2" xfId="2465"/>
    <cellStyle name="T_ÿÿÿÿÿ_Bieu mau cong trinh khoi cong moi 3-4_KH TPCP vung TNB (03-1-2012)" xfId="2466"/>
    <cellStyle name="T_ÿÿÿÿÿ_Bieu mau cong trinh khoi cong moi 3-4_KH TPCP vung TNB (03-1-2012) 2" xfId="2467"/>
    <cellStyle name="T_ÿÿÿÿÿ_Bieu3ODA" xfId="2468"/>
    <cellStyle name="T_ÿÿÿÿÿ_Bieu3ODA 2" xfId="2469"/>
    <cellStyle name="T_ÿÿÿÿÿ_Bieu3ODA_!1 1 bao cao giao KH ve HTCMT vung TNB   12-12-2011" xfId="2470"/>
    <cellStyle name="T_ÿÿÿÿÿ_Bieu3ODA_!1 1 bao cao giao KH ve HTCMT vung TNB   12-12-2011 2" xfId="2471"/>
    <cellStyle name="T_ÿÿÿÿÿ_Bieu3ODA_KH TPCP vung TNB (03-1-2012)" xfId="2472"/>
    <cellStyle name="T_ÿÿÿÿÿ_Bieu3ODA_KH TPCP vung TNB (03-1-2012) 2" xfId="2473"/>
    <cellStyle name="T_ÿÿÿÿÿ_Bieu4HTMT" xfId="2474"/>
    <cellStyle name="T_ÿÿÿÿÿ_Bieu4HTMT 2" xfId="2475"/>
    <cellStyle name="T_ÿÿÿÿÿ_Bieu4HTMT_!1 1 bao cao giao KH ve HTCMT vung TNB   12-12-2011" xfId="2476"/>
    <cellStyle name="T_ÿÿÿÿÿ_Bieu4HTMT_!1 1 bao cao giao KH ve HTCMT vung TNB   12-12-2011 2" xfId="2477"/>
    <cellStyle name="T_ÿÿÿÿÿ_Bieu4HTMT_KH TPCP vung TNB (03-1-2012)" xfId="2478"/>
    <cellStyle name="T_ÿÿÿÿÿ_Bieu4HTMT_KH TPCP vung TNB (03-1-2012) 2" xfId="2479"/>
    <cellStyle name="T_ÿÿÿÿÿ_KH TPCP vung TNB (03-1-2012)" xfId="2480"/>
    <cellStyle name="T_ÿÿÿÿÿ_KH TPCP vung TNB (03-1-2012) 2" xfId="2481"/>
    <cellStyle name="T_ÿÿÿÿÿ_kien giang 2" xfId="2482"/>
    <cellStyle name="T_ÿÿÿÿÿ_kien giang 2 2" xfId="2483"/>
    <cellStyle name="Text Indent A" xfId="2484"/>
    <cellStyle name="Text Indent B" xfId="2485"/>
    <cellStyle name="Text Indent C" xfId="2486"/>
    <cellStyle name="th" xfId="2487"/>
    <cellStyle name="th 2" xfId="2488"/>
    <cellStyle name="than" xfId="2489"/>
    <cellStyle name="þ_x001D_ð¤_x000C_¯þ_x0014_&#13;¨þU_x0001_À_x0004_ _x0015__x000F__x0001__x0001_" xfId="2490"/>
    <cellStyle name="þ_x001D_ð·_x000C_æþ'&#13;ßþU_x0001_Ø_x0005_ü_x0014__x0007__x0001__x0001_" xfId="2491"/>
    <cellStyle name="þ_x001D_ðÇ%Uý—&amp;Hý9_x0008_Ÿ s&#10;_x0007__x0001__x0001_" xfId="2492"/>
    <cellStyle name="þ_x001D_ðK_x000C_Fý_x001B_&#13;9ýU_x0001_Ð_x0008_¦)_x0007__x0001__x0001_" xfId="2493"/>
    <cellStyle name="thuong-10" xfId="2494"/>
    <cellStyle name="thuong-11" xfId="2495"/>
    <cellStyle name="thuong-11 2" xfId="2496"/>
    <cellStyle name="Thuyet minh" xfId="2497"/>
    <cellStyle name="Tien1" xfId="2498"/>
    <cellStyle name="Tieu_de_2" xfId="2499"/>
    <cellStyle name="Times New Roman" xfId="2500"/>
    <cellStyle name="tit1" xfId="2501"/>
    <cellStyle name="tit2" xfId="2502"/>
    <cellStyle name="tit2 2" xfId="2503"/>
    <cellStyle name="tit3" xfId="2504"/>
    <cellStyle name="tit4" xfId="2505"/>
    <cellStyle name="Title" xfId="2506"/>
    <cellStyle name="Tong so" xfId="2507"/>
    <cellStyle name="tong so 1" xfId="2508"/>
    <cellStyle name="Tongcong" xfId="2509"/>
    <cellStyle name="Total" xfId="2510"/>
    <cellStyle name="trang" xfId="2511"/>
    <cellStyle name="tt1" xfId="2512"/>
    <cellStyle name="Tusental (0)_pldt" xfId="2513"/>
    <cellStyle name="Tusental_pldt" xfId="2514"/>
    <cellStyle name="ux_3_¼­¿ï-¾È»ê" xfId="2515"/>
    <cellStyle name="Valuta (0)_pldt" xfId="2516"/>
    <cellStyle name="Valuta_pldt" xfId="2517"/>
    <cellStyle name="VANG1" xfId="2518"/>
    <cellStyle name="VANG1 2" xfId="2519"/>
    <cellStyle name="viet" xfId="2520"/>
    <cellStyle name="viet2" xfId="2521"/>
    <cellStyle name="viet2 2" xfId="2522"/>
    <cellStyle name="VN new romanNormal" xfId="2523"/>
    <cellStyle name="Vn Time 13" xfId="2524"/>
    <cellStyle name="Vn Time 14" xfId="2525"/>
    <cellStyle name="VN time new roman" xfId="2526"/>
    <cellStyle name="vnbo" xfId="2527"/>
    <cellStyle name="vnbo 2" xfId="2528"/>
    <cellStyle name="vnhead1" xfId="2529"/>
    <cellStyle name="vnhead1 2" xfId="2530"/>
    <cellStyle name="vnhead2" xfId="2531"/>
    <cellStyle name="vnhead2 2" xfId="2532"/>
    <cellStyle name="vnhead3" xfId="2533"/>
    <cellStyle name="vnhead3 2" xfId="2534"/>
    <cellStyle name="vnhead4" xfId="2535"/>
    <cellStyle name="vntxt1" xfId="2536"/>
    <cellStyle name="vntxt2" xfId="2537"/>
    <cellStyle name="W?hrung [0]_35ERI8T2gbIEMixb4v26icuOo" xfId="2538"/>
    <cellStyle name="W?hrung_35ERI8T2gbIEMixb4v26icuOo" xfId="2539"/>
    <cellStyle name="W_MARINE" xfId="2540"/>
    <cellStyle name="Währung [0]_ALLE_ITEMS_280800_EV_NL" xfId="2541"/>
    <cellStyle name="Währung_AKE_100N" xfId="2542"/>
    <cellStyle name="Walutowy [0]_Invoices2001Slovakia" xfId="2543"/>
    <cellStyle name="Walutowy_Invoices2001Slovakia" xfId="2544"/>
    <cellStyle name="Warning Text" xfId="2545"/>
    <cellStyle name="wrap" xfId="2546"/>
    <cellStyle name="Wไhrung [0]_35ERI8T2gbIEMixb4v26icuOo" xfId="2547"/>
    <cellStyle name="Wไhrung_35ERI8T2gbIEMixb4v26icuOo" xfId="2548"/>
    <cellStyle name="xuan" xfId="2549"/>
    <cellStyle name="y" xfId="2550"/>
    <cellStyle name="y 2" xfId="2551"/>
    <cellStyle name="Ý kh¸c_B¶ng 1 (2)" xfId="2552"/>
    <cellStyle name="เครื่องหมายสกุลเงิน [0]_FTC_OFFER" xfId="2553"/>
    <cellStyle name="เครื่องหมายสกุลเงิน_FTC_OFFER" xfId="2554"/>
    <cellStyle name="ปกติ_FTC_OFFER" xfId="2555"/>
    <cellStyle name="똿뗦먛귟 [0.00]_PRODUCT DETAIL Q1" xfId="2556"/>
    <cellStyle name="똿뗦먛귟_PRODUCT DETAIL Q1" xfId="2557"/>
    <cellStyle name="믅됞 [0.00]_PRODUCT DETAIL Q1" xfId="2558"/>
    <cellStyle name="믅됞_PRODUCT DETAIL Q1" xfId="2559"/>
    <cellStyle name="백분율_††††† " xfId="2560"/>
    <cellStyle name="뷭?_BOOKSHIP" xfId="2561"/>
    <cellStyle name="안건회계법인" xfId="2562"/>
    <cellStyle name="一般_00Q3902REV.1" xfId="2563"/>
    <cellStyle name="千分位[0]_00Q3902REV.1" xfId="2564"/>
    <cellStyle name="千分位_00Q3902REV.1" xfId="2565"/>
    <cellStyle name="콤마 [ - 유형1" xfId="2566"/>
    <cellStyle name="콤마 [ - 유형2" xfId="2567"/>
    <cellStyle name="콤마 [ - 유형3" xfId="2568"/>
    <cellStyle name="콤마 [ - 유형4" xfId="2569"/>
    <cellStyle name="콤마 [ - 유형5" xfId="2570"/>
    <cellStyle name="콤마 [ - 유형6" xfId="2571"/>
    <cellStyle name="콤마 [ - 유형7" xfId="2572"/>
    <cellStyle name="콤마 [ - 유형8" xfId="2573"/>
    <cellStyle name="콤마 [0]_ 비목별 월별기술 " xfId="2574"/>
    <cellStyle name="콤마_ 비목별 월별기술 " xfId="2575"/>
    <cellStyle name="통화 [0]_††††† " xfId="2576"/>
    <cellStyle name="통화_††††† " xfId="2577"/>
    <cellStyle name="표준_ 97년 경영분석(안)" xfId="2578"/>
    <cellStyle name="표줠_Sheet1_1_총괄표 (수출입) (2)" xfId="2579"/>
    <cellStyle name="桁区切り [0.00]_BE-BQ" xfId="2580"/>
    <cellStyle name="桁区切り_BE-BQ" xfId="2581"/>
    <cellStyle name="標準_(A1)BOQ " xfId="2582"/>
    <cellStyle name="貨幣 [0]_00Q3902REV.1" xfId="2583"/>
    <cellStyle name="貨幣[0]_BRE" xfId="2584"/>
    <cellStyle name="貨幣_00Q3902REV.1" xfId="2585"/>
    <cellStyle name="通貨 [0.00]_BE-BQ" xfId="2586"/>
    <cellStyle name="通貨_BE-BQ" xfId="2587"/>
    <cellStyle name=" [0.00]_ Att. 1- Cover" xfId="2588"/>
    <cellStyle name="_ Att. 1- Cover" xfId="2589"/>
    <cellStyle name="?_ Att. 1- Cover" xfId="25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KH%20DT%20CONG%20Trung%20han%205%20nam%202016-2020\KH%20dautucong\KH%20dautucong%20gui%20Bo%20KHDT.Bo%20TC%20ngay%2031.3.2015\Ban%20KH%20gui%20Bo%20KHDT%20va%20TC%20ngay%2031.3.2015\Bieu%2017%20(2016-2020)%20ngay%2031.3.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nh%20Nam\AppData\Local\Microsoft\Windows\Temporary%20Internet%20Files\Content.IE5\EB5PE7UQ\3_257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Downloads\TieuchiphanboKH2016(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17 Xo s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han cong TH"/>
      <sheetName val="B1_HTMT"/>
      <sheetName val="B2_TPCP"/>
      <sheetName val="B3_ODA"/>
      <sheetName val="B4_Ung_NSNN"/>
      <sheetName val="PLI_Ung_NSN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SĐP"/>
      <sheetName val="Phuong an 1"/>
      <sheetName val="Sheet1"/>
      <sheetName val="Sheet2"/>
    </sheetNames>
    <sheetDataSet>
      <sheetData sheetId="2">
        <row r="7">
          <cell r="B7">
            <v>60230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I744"/>
  <sheetViews>
    <sheetView tabSelected="1" view="pageBreakPreview" zoomScale="75" zoomScaleNormal="85" zoomScaleSheetLayoutView="75" zoomScalePageLayoutView="0" workbookViewId="0" topLeftCell="A1">
      <selection activeCell="X13" sqref="X13"/>
    </sheetView>
  </sheetViews>
  <sheetFormatPr defaultColWidth="9.140625" defaultRowHeight="12.75"/>
  <cols>
    <col min="1" max="1" width="5.140625" style="49" customWidth="1"/>
    <col min="2" max="2" width="32.00390625" style="55" customWidth="1"/>
    <col min="3" max="3" width="6.00390625" style="61" hidden="1" customWidth="1"/>
    <col min="4" max="5" width="11.00390625" style="16" hidden="1" customWidth="1"/>
    <col min="6" max="6" width="5.8515625" style="16" hidden="1" customWidth="1"/>
    <col min="7" max="7" width="11.140625" style="16" customWidth="1"/>
    <col min="8" max="8" width="11.28125" style="58" customWidth="1"/>
    <col min="9" max="9" width="11.57421875" style="58" bestFit="1" customWidth="1"/>
    <col min="10" max="10" width="11.57421875" style="58" hidden="1" customWidth="1"/>
    <col min="11" max="11" width="11.140625" style="58" hidden="1" customWidth="1"/>
    <col min="12" max="12" width="11.421875" style="58" hidden="1" customWidth="1"/>
    <col min="13" max="14" width="11.7109375" style="58" hidden="1" customWidth="1"/>
    <col min="15" max="15" width="12.57421875" style="58" customWidth="1"/>
    <col min="16" max="16" width="9.8515625" style="58" bestFit="1" customWidth="1"/>
    <col min="17" max="17" width="12.8515625" style="41" bestFit="1" customWidth="1"/>
    <col min="18" max="18" width="9.8515625" style="58" hidden="1" customWidth="1"/>
    <col min="19" max="19" width="10.7109375" style="58" hidden="1" customWidth="1"/>
    <col min="20" max="20" width="8.28125" style="58" hidden="1" customWidth="1"/>
    <col min="21" max="21" width="11.57421875" style="59" bestFit="1" customWidth="1"/>
    <col min="22" max="22" width="11.7109375" style="59" customWidth="1"/>
    <col min="23" max="23" width="12.57421875" style="59" bestFit="1" customWidth="1"/>
    <col min="24" max="24" width="10.140625" style="59" customWidth="1"/>
    <col min="25" max="25" width="9.421875" style="59" customWidth="1"/>
    <col min="26" max="26" width="7.28125" style="59" hidden="1" customWidth="1"/>
    <col min="27" max="27" width="13.140625" style="56" customWidth="1"/>
    <col min="28" max="28" width="8.28125" style="56" hidden="1" customWidth="1"/>
    <col min="29" max="29" width="8.28125" style="340" hidden="1" customWidth="1"/>
    <col min="30" max="30" width="9.421875" style="56" hidden="1" customWidth="1"/>
    <col min="31" max="31" width="9.28125" style="56" hidden="1" customWidth="1"/>
    <col min="32" max="32" width="9.421875" style="56" hidden="1" customWidth="1"/>
    <col min="33" max="33" width="14.57421875" style="60" customWidth="1"/>
    <col min="34" max="34" width="7.57421875" style="60" customWidth="1"/>
    <col min="35" max="36" width="8.7109375" style="60" customWidth="1"/>
    <col min="37" max="37" width="8.421875" style="60" customWidth="1"/>
    <col min="38" max="38" width="9.7109375" style="48" customWidth="1"/>
    <col min="39" max="39" width="14.140625" style="48" customWidth="1"/>
    <col min="40" max="40" width="11.140625" style="48" customWidth="1"/>
    <col min="41" max="45" width="10.421875" style="48" customWidth="1"/>
    <col min="46" max="46" width="11.421875" style="48" bestFit="1" customWidth="1"/>
    <col min="47" max="47" width="10.140625" style="48" bestFit="1" customWidth="1"/>
    <col min="48" max="16384" width="9.140625" style="48" customWidth="1"/>
  </cols>
  <sheetData>
    <row r="1" spans="1:37" s="2" customFormat="1" ht="15" customHeight="1">
      <c r="A1" s="641"/>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3"/>
      <c r="AC1" s="302"/>
      <c r="AD1" s="258"/>
      <c r="AE1" s="258"/>
      <c r="AF1" s="258"/>
      <c r="AG1" s="1"/>
      <c r="AH1" s="1"/>
      <c r="AI1" s="1"/>
      <c r="AJ1" s="1"/>
      <c r="AK1" s="1"/>
    </row>
    <row r="2" spans="1:37" s="2" customFormat="1" ht="9" customHeight="1">
      <c r="A2" s="642" t="s">
        <v>955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3"/>
      <c r="AC2" s="302"/>
      <c r="AD2" s="3"/>
      <c r="AE2" s="3"/>
      <c r="AF2" s="3"/>
      <c r="AG2" s="4"/>
      <c r="AH2" s="4"/>
      <c r="AI2" s="4"/>
      <c r="AJ2" s="4"/>
      <c r="AK2" s="1"/>
    </row>
    <row r="3" spans="1:39" s="2" customFormat="1" ht="27" customHeight="1">
      <c r="A3" s="643" t="s">
        <v>927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5"/>
      <c r="AC3" s="303"/>
      <c r="AD3" s="5"/>
      <c r="AE3" s="5"/>
      <c r="AF3" s="5"/>
      <c r="AG3" s="6"/>
      <c r="AH3" s="6"/>
      <c r="AI3" s="6"/>
      <c r="AJ3" s="6"/>
      <c r="AK3" s="6"/>
      <c r="AL3" s="7"/>
      <c r="AM3" s="7"/>
    </row>
    <row r="4" spans="1:37" s="2" customFormat="1" ht="13.5" customHeight="1">
      <c r="A4" s="644" t="s">
        <v>925</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8"/>
      <c r="AC4" s="304"/>
      <c r="AD4" s="8"/>
      <c r="AE4" s="8"/>
      <c r="AF4" s="8"/>
      <c r="AG4" s="9"/>
      <c r="AH4" s="9"/>
      <c r="AI4" s="9"/>
      <c r="AJ4" s="9"/>
      <c r="AK4" s="9"/>
    </row>
    <row r="5" spans="1:37" s="11" customFormat="1" ht="20.25" customHeight="1">
      <c r="A5" s="645" t="s">
        <v>23</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305"/>
      <c r="AC5" s="306"/>
      <c r="AD5" s="307"/>
      <c r="AE5" s="307"/>
      <c r="AF5" s="259"/>
      <c r="AG5" s="10"/>
      <c r="AH5" s="10"/>
      <c r="AI5" s="10"/>
      <c r="AJ5" s="10"/>
      <c r="AK5" s="10"/>
    </row>
    <row r="6" spans="1:38" s="16" customFormat="1" ht="16.5" customHeight="1">
      <c r="A6" s="633" t="s">
        <v>24</v>
      </c>
      <c r="B6" s="633" t="s">
        <v>25</v>
      </c>
      <c r="C6" s="629" t="s">
        <v>26</v>
      </c>
      <c r="D6" s="633" t="s">
        <v>27</v>
      </c>
      <c r="E6" s="12"/>
      <c r="F6" s="633" t="s">
        <v>28</v>
      </c>
      <c r="G6" s="633" t="s">
        <v>301</v>
      </c>
      <c r="H6" s="633"/>
      <c r="I6" s="633"/>
      <c r="J6" s="633" t="s">
        <v>29</v>
      </c>
      <c r="K6" s="633"/>
      <c r="L6" s="633"/>
      <c r="M6" s="14" t="s">
        <v>30</v>
      </c>
      <c r="N6" s="14"/>
      <c r="O6" s="647" t="s">
        <v>30</v>
      </c>
      <c r="P6" s="647"/>
      <c r="Q6" s="647"/>
      <c r="R6" s="14"/>
      <c r="S6" s="14"/>
      <c r="T6" s="14"/>
      <c r="U6" s="646" t="s">
        <v>15</v>
      </c>
      <c r="V6" s="646"/>
      <c r="W6" s="646"/>
      <c r="X6" s="646"/>
      <c r="Y6" s="646"/>
      <c r="Z6" s="15"/>
      <c r="AA6" s="629" t="s">
        <v>852</v>
      </c>
      <c r="AB6" s="630" t="s">
        <v>924</v>
      </c>
      <c r="AC6" s="630" t="s">
        <v>931</v>
      </c>
      <c r="AD6" s="80"/>
      <c r="AE6" s="80"/>
      <c r="AF6" s="637">
        <f>AA294-X294</f>
        <v>-0.39680930200484</v>
      </c>
      <c r="AG6" s="629" t="s">
        <v>490</v>
      </c>
      <c r="AH6" s="630" t="s">
        <v>493</v>
      </c>
      <c r="AI6" s="630" t="s">
        <v>494</v>
      </c>
      <c r="AJ6" s="630" t="s">
        <v>495</v>
      </c>
      <c r="AK6" s="630" t="s">
        <v>491</v>
      </c>
      <c r="AL6" s="16">
        <f>W21-X21</f>
        <v>-0.3690000000060536</v>
      </c>
    </row>
    <row r="7" spans="1:38" s="18" customFormat="1" ht="41.25" customHeight="1">
      <c r="A7" s="633"/>
      <c r="B7" s="633"/>
      <c r="C7" s="629"/>
      <c r="D7" s="633"/>
      <c r="E7" s="12"/>
      <c r="F7" s="633"/>
      <c r="G7" s="633"/>
      <c r="H7" s="633"/>
      <c r="I7" s="633"/>
      <c r="J7" s="633"/>
      <c r="K7" s="633"/>
      <c r="L7" s="633"/>
      <c r="M7" s="633" t="s">
        <v>32</v>
      </c>
      <c r="N7" s="633"/>
      <c r="O7" s="633" t="s">
        <v>923</v>
      </c>
      <c r="P7" s="633"/>
      <c r="Q7" s="633" t="s">
        <v>530</v>
      </c>
      <c r="R7" s="12"/>
      <c r="S7" s="12"/>
      <c r="T7" s="12"/>
      <c r="U7" s="634" t="s">
        <v>335</v>
      </c>
      <c r="V7" s="634"/>
      <c r="W7" s="634"/>
      <c r="X7" s="634" t="s">
        <v>312</v>
      </c>
      <c r="Y7" s="634"/>
      <c r="Z7" s="17"/>
      <c r="AA7" s="629"/>
      <c r="AB7" s="631"/>
      <c r="AC7" s="631"/>
      <c r="AD7" s="80">
        <f>+AC20</f>
        <v>-1249.972000000067</v>
      </c>
      <c r="AE7" s="80"/>
      <c r="AF7" s="637"/>
      <c r="AG7" s="629"/>
      <c r="AH7" s="631"/>
      <c r="AI7" s="631"/>
      <c r="AJ7" s="631"/>
      <c r="AK7" s="631"/>
      <c r="AL7" s="18">
        <f>W21-X21</f>
        <v>-0.3690000000060536</v>
      </c>
    </row>
    <row r="8" spans="1:41" s="18" customFormat="1" ht="26.25" customHeight="1">
      <c r="A8" s="633"/>
      <c r="B8" s="633"/>
      <c r="C8" s="629"/>
      <c r="D8" s="633"/>
      <c r="E8" s="12"/>
      <c r="F8" s="633"/>
      <c r="G8" s="633" t="s">
        <v>34</v>
      </c>
      <c r="H8" s="633" t="s">
        <v>35</v>
      </c>
      <c r="I8" s="633"/>
      <c r="J8" s="633" t="s">
        <v>34</v>
      </c>
      <c r="K8" s="633" t="s">
        <v>35</v>
      </c>
      <c r="L8" s="633"/>
      <c r="M8" s="633" t="s">
        <v>36</v>
      </c>
      <c r="N8" s="633"/>
      <c r="O8" s="633" t="s">
        <v>36</v>
      </c>
      <c r="P8" s="633"/>
      <c r="Q8" s="633"/>
      <c r="R8" s="12" t="s">
        <v>296</v>
      </c>
      <c r="S8" s="12"/>
      <c r="T8" s="12"/>
      <c r="U8" s="634" t="s">
        <v>926</v>
      </c>
      <c r="V8" s="634" t="s">
        <v>275</v>
      </c>
      <c r="W8" s="634"/>
      <c r="X8" s="634" t="s">
        <v>308</v>
      </c>
      <c r="Y8" s="634" t="s">
        <v>279</v>
      </c>
      <c r="Z8" s="17"/>
      <c r="AA8" s="629"/>
      <c r="AB8" s="631"/>
      <c r="AC8" s="631"/>
      <c r="AD8" s="80">
        <f>X323-AA323</f>
        <v>-0.35249167001165915</v>
      </c>
      <c r="AE8" s="80">
        <v>126000</v>
      </c>
      <c r="AF8" s="637"/>
      <c r="AG8" s="629"/>
      <c r="AH8" s="631"/>
      <c r="AI8" s="631"/>
      <c r="AJ8" s="631"/>
      <c r="AK8" s="631"/>
      <c r="AL8" s="639">
        <f>X369-AA369</f>
        <v>-0.13799999999901047</v>
      </c>
      <c r="AM8" s="638"/>
      <c r="AN8" s="638"/>
      <c r="AO8" s="638"/>
    </row>
    <row r="9" spans="1:39" s="18" customFormat="1" ht="32.25" customHeight="1">
      <c r="A9" s="633"/>
      <c r="B9" s="633"/>
      <c r="C9" s="629"/>
      <c r="D9" s="633"/>
      <c r="E9" s="12"/>
      <c r="F9" s="633"/>
      <c r="G9" s="633"/>
      <c r="H9" s="633" t="s">
        <v>37</v>
      </c>
      <c r="I9" s="633" t="s">
        <v>296</v>
      </c>
      <c r="J9" s="633"/>
      <c r="K9" s="633" t="s">
        <v>37</v>
      </c>
      <c r="L9" s="633" t="s">
        <v>299</v>
      </c>
      <c r="M9" s="633" t="s">
        <v>37</v>
      </c>
      <c r="N9" s="633" t="s">
        <v>299</v>
      </c>
      <c r="O9" s="633" t="s">
        <v>37</v>
      </c>
      <c r="P9" s="633" t="s">
        <v>299</v>
      </c>
      <c r="Q9" s="633"/>
      <c r="R9" s="12" t="s">
        <v>36</v>
      </c>
      <c r="S9" s="12" t="s">
        <v>300</v>
      </c>
      <c r="T9" s="13" t="s">
        <v>38</v>
      </c>
      <c r="U9" s="634"/>
      <c r="V9" s="634" t="s">
        <v>31</v>
      </c>
      <c r="W9" s="634" t="s">
        <v>279</v>
      </c>
      <c r="X9" s="634"/>
      <c r="Y9" s="634"/>
      <c r="Z9" s="17"/>
      <c r="AA9" s="629"/>
      <c r="AB9" s="631"/>
      <c r="AC9" s="631"/>
      <c r="AD9" s="80">
        <f>X182-AA182</f>
        <v>0.39312548972520744</v>
      </c>
      <c r="AE9" s="80"/>
      <c r="AF9" s="637"/>
      <c r="AG9" s="629"/>
      <c r="AH9" s="631"/>
      <c r="AI9" s="631"/>
      <c r="AJ9" s="631"/>
      <c r="AK9" s="631"/>
      <c r="AL9" s="18">
        <f>X161-AA161</f>
        <v>0.03819724402274005</v>
      </c>
      <c r="AM9" s="18">
        <f>+AC20</f>
        <v>-1249.972000000067</v>
      </c>
    </row>
    <row r="10" spans="1:38" s="19" customFormat="1" ht="15" customHeight="1">
      <c r="A10" s="633"/>
      <c r="B10" s="633"/>
      <c r="C10" s="629"/>
      <c r="D10" s="633"/>
      <c r="E10" s="12"/>
      <c r="F10" s="633"/>
      <c r="G10" s="633"/>
      <c r="H10" s="633"/>
      <c r="I10" s="633"/>
      <c r="J10" s="633"/>
      <c r="K10" s="633"/>
      <c r="L10" s="633"/>
      <c r="M10" s="633"/>
      <c r="N10" s="633"/>
      <c r="O10" s="633"/>
      <c r="P10" s="633"/>
      <c r="Q10" s="633"/>
      <c r="R10" s="12"/>
      <c r="S10" s="12"/>
      <c r="T10" s="13"/>
      <c r="U10" s="634"/>
      <c r="V10" s="634"/>
      <c r="W10" s="634"/>
      <c r="X10" s="634"/>
      <c r="Y10" s="634"/>
      <c r="Z10" s="17"/>
      <c r="AA10" s="629"/>
      <c r="AB10" s="631"/>
      <c r="AC10" s="631"/>
      <c r="AD10" s="80">
        <f>AD21</f>
        <v>126000.369</v>
      </c>
      <c r="AE10" s="80">
        <f>X161-AA161</f>
        <v>0.03819724402274005</v>
      </c>
      <c r="AF10" s="637"/>
      <c r="AG10" s="629"/>
      <c r="AH10" s="632"/>
      <c r="AI10" s="632"/>
      <c r="AJ10" s="632"/>
      <c r="AK10" s="632"/>
      <c r="AL10" s="19">
        <f>AA369-X369</f>
        <v>0.13799999999901047</v>
      </c>
    </row>
    <row r="11" spans="1:37" s="18" customFormat="1" ht="15.75" customHeight="1" hidden="1">
      <c r="A11" s="633"/>
      <c r="B11" s="633"/>
      <c r="C11" s="629"/>
      <c r="D11" s="633"/>
      <c r="E11" s="12"/>
      <c r="F11" s="633"/>
      <c r="G11" s="633"/>
      <c r="H11" s="633"/>
      <c r="I11" s="633"/>
      <c r="J11" s="633"/>
      <c r="K11" s="633"/>
      <c r="L11" s="633"/>
      <c r="M11" s="633"/>
      <c r="N11" s="633"/>
      <c r="O11" s="633"/>
      <c r="P11" s="633"/>
      <c r="Q11" s="633"/>
      <c r="R11" s="20"/>
      <c r="S11" s="21"/>
      <c r="T11" s="22"/>
      <c r="U11" s="634"/>
      <c r="V11" s="634"/>
      <c r="W11" s="634"/>
      <c r="X11" s="634"/>
      <c r="Y11" s="634"/>
      <c r="Z11" s="23"/>
      <c r="AA11" s="629"/>
      <c r="AB11" s="631"/>
      <c r="AC11" s="631"/>
      <c r="AD11" s="80"/>
      <c r="AE11" s="80"/>
      <c r="AF11" s="637"/>
      <c r="AG11" s="13"/>
      <c r="AH11" s="13"/>
      <c r="AI11" s="13"/>
      <c r="AJ11" s="13"/>
      <c r="AK11" s="22"/>
    </row>
    <row r="12" spans="1:37" s="18" customFormat="1" ht="10.5" customHeight="1">
      <c r="A12" s="633"/>
      <c r="B12" s="633"/>
      <c r="C12" s="629"/>
      <c r="D12" s="633"/>
      <c r="E12" s="12"/>
      <c r="F12" s="633"/>
      <c r="G12" s="633"/>
      <c r="H12" s="633"/>
      <c r="I12" s="633"/>
      <c r="J12" s="633"/>
      <c r="K12" s="633"/>
      <c r="L12" s="633"/>
      <c r="M12" s="633"/>
      <c r="N12" s="633"/>
      <c r="O12" s="633"/>
      <c r="P12" s="633"/>
      <c r="Q12" s="633"/>
      <c r="R12" s="20"/>
      <c r="S12" s="21"/>
      <c r="T12" s="22"/>
      <c r="U12" s="634"/>
      <c r="V12" s="634"/>
      <c r="W12" s="634"/>
      <c r="X12" s="634"/>
      <c r="Y12" s="634"/>
      <c r="Z12" s="24"/>
      <c r="AA12" s="629"/>
      <c r="AB12" s="632"/>
      <c r="AC12" s="632"/>
      <c r="AD12" s="80"/>
      <c r="AE12" s="80"/>
      <c r="AF12" s="637"/>
      <c r="AG12" s="13"/>
      <c r="AH12" s="13"/>
      <c r="AI12" s="13"/>
      <c r="AJ12" s="13"/>
      <c r="AK12" s="22"/>
    </row>
    <row r="13" spans="1:37" s="18" customFormat="1" ht="16.5" customHeight="1">
      <c r="A13" s="25">
        <v>1</v>
      </c>
      <c r="B13" s="25">
        <v>2</v>
      </c>
      <c r="C13" s="26">
        <v>3</v>
      </c>
      <c r="D13" s="25">
        <v>4</v>
      </c>
      <c r="E13" s="25"/>
      <c r="F13" s="25">
        <v>4</v>
      </c>
      <c r="G13" s="25">
        <v>3</v>
      </c>
      <c r="H13" s="25">
        <v>4</v>
      </c>
      <c r="I13" s="25">
        <v>5</v>
      </c>
      <c r="J13" s="25">
        <v>9</v>
      </c>
      <c r="K13" s="25">
        <v>10</v>
      </c>
      <c r="L13" s="25">
        <v>11</v>
      </c>
      <c r="M13" s="25">
        <v>12</v>
      </c>
      <c r="N13" s="25">
        <v>13</v>
      </c>
      <c r="O13" s="25">
        <v>6</v>
      </c>
      <c r="P13" s="25">
        <v>7</v>
      </c>
      <c r="Q13" s="27">
        <v>8</v>
      </c>
      <c r="R13" s="25">
        <v>18</v>
      </c>
      <c r="S13" s="25">
        <v>19</v>
      </c>
      <c r="T13" s="25">
        <v>20</v>
      </c>
      <c r="U13" s="28">
        <v>9</v>
      </c>
      <c r="V13" s="28">
        <v>10</v>
      </c>
      <c r="W13" s="28">
        <v>11</v>
      </c>
      <c r="X13" s="28">
        <v>12</v>
      </c>
      <c r="Y13" s="28">
        <v>13</v>
      </c>
      <c r="Z13" s="28"/>
      <c r="AA13" s="26">
        <v>14</v>
      </c>
      <c r="AB13" s="29"/>
      <c r="AC13" s="29"/>
      <c r="AD13" s="29"/>
      <c r="AE13" s="29"/>
      <c r="AF13" s="29"/>
      <c r="AG13" s="26"/>
      <c r="AH13" s="26"/>
      <c r="AI13" s="26"/>
      <c r="AJ13" s="26"/>
      <c r="AK13" s="26"/>
    </row>
    <row r="14" spans="1:39" s="35" customFormat="1" ht="24.75" customHeight="1">
      <c r="A14" s="45" t="s">
        <v>40</v>
      </c>
      <c r="B14" s="45" t="s">
        <v>755</v>
      </c>
      <c r="C14" s="67"/>
      <c r="D14" s="67"/>
      <c r="E14" s="67"/>
      <c r="F14" s="67"/>
      <c r="G14" s="67"/>
      <c r="H14" s="68"/>
      <c r="I14" s="68"/>
      <c r="J14" s="68"/>
      <c r="K14" s="68"/>
      <c r="L14" s="68"/>
      <c r="M14" s="68"/>
      <c r="N14" s="68"/>
      <c r="O14" s="68"/>
      <c r="P14" s="68"/>
      <c r="Q14" s="68"/>
      <c r="R14" s="68"/>
      <c r="S14" s="68"/>
      <c r="T14" s="68"/>
      <c r="U14" s="68"/>
      <c r="V14" s="68"/>
      <c r="W14" s="68"/>
      <c r="X14" s="68">
        <f>X15+X18</f>
        <v>627050</v>
      </c>
      <c r="Y14" s="68"/>
      <c r="Z14" s="68"/>
      <c r="AA14" s="33"/>
      <c r="AB14" s="308">
        <v>628300</v>
      </c>
      <c r="AC14" s="309">
        <f>+X14-AB14</f>
        <v>-1250</v>
      </c>
      <c r="AD14" s="32"/>
      <c r="AE14" s="32"/>
      <c r="AF14" s="32">
        <v>564000</v>
      </c>
      <c r="AG14" s="33"/>
      <c r="AH14" s="33"/>
      <c r="AI14" s="33"/>
      <c r="AJ14" s="33"/>
      <c r="AK14" s="34"/>
      <c r="AL14" s="35">
        <f>+X14-AF14</f>
        <v>63050</v>
      </c>
      <c r="AM14" s="35">
        <f>+X20-X15</f>
        <v>0.1086293300613761</v>
      </c>
    </row>
    <row r="15" spans="1:38" s="35" customFormat="1" ht="25.5">
      <c r="A15" s="45">
        <v>1</v>
      </c>
      <c r="B15" s="341" t="s">
        <v>307</v>
      </c>
      <c r="C15" s="67"/>
      <c r="D15" s="67"/>
      <c r="E15" s="67"/>
      <c r="F15" s="67"/>
      <c r="G15" s="67"/>
      <c r="H15" s="68"/>
      <c r="I15" s="68"/>
      <c r="J15" s="68"/>
      <c r="K15" s="68"/>
      <c r="L15" s="68"/>
      <c r="M15" s="68"/>
      <c r="N15" s="68"/>
      <c r="O15" s="68"/>
      <c r="P15" s="68"/>
      <c r="Q15" s="68"/>
      <c r="R15" s="68" t="e">
        <f>SUM(#REF!,#REF!,#REF!,#REF!,#REF!,#REF!,#REF!,#REF!,#REF!,#REF!,#REF!,#REF!)</f>
        <v>#REF!</v>
      </c>
      <c r="S15" s="68" t="e">
        <f>SUM(#REF!,#REF!,#REF!,#REF!,#REF!,#REF!,#REF!,#REF!,#REF!,#REF!,#REF!,#REF!)</f>
        <v>#REF!</v>
      </c>
      <c r="T15" s="68" t="e">
        <f>SUM(#REF!,#REF!,#REF!,#REF!,#REF!,#REF!,#REF!,#REF!,#REF!,#REF!,#REF!,#REF!)</f>
        <v>#REF!</v>
      </c>
      <c r="U15" s="68"/>
      <c r="V15" s="68"/>
      <c r="W15" s="68"/>
      <c r="X15" s="68">
        <f>X16+X17</f>
        <v>616050</v>
      </c>
      <c r="Y15" s="68"/>
      <c r="Z15" s="68"/>
      <c r="AA15" s="33"/>
      <c r="AB15" s="310">
        <v>617300</v>
      </c>
      <c r="AC15" s="311">
        <f aca="true" t="shared" si="0" ref="AC15:AC34">+X15-AB15</f>
        <v>-1250</v>
      </c>
      <c r="AD15" s="32"/>
      <c r="AE15" s="32"/>
      <c r="AF15" s="32">
        <v>554000</v>
      </c>
      <c r="AG15" s="33"/>
      <c r="AH15" s="33"/>
      <c r="AI15" s="33"/>
      <c r="AJ15" s="33"/>
      <c r="AK15" s="34"/>
      <c r="AL15" s="35">
        <f>+X15-AF15</f>
        <v>62050</v>
      </c>
    </row>
    <row r="16" spans="1:37" s="35" customFormat="1" ht="21.75" customHeight="1">
      <c r="A16" s="45"/>
      <c r="B16" s="22" t="s">
        <v>756</v>
      </c>
      <c r="C16" s="67"/>
      <c r="D16" s="67"/>
      <c r="E16" s="67"/>
      <c r="F16" s="67"/>
      <c r="G16" s="67"/>
      <c r="H16" s="68"/>
      <c r="I16" s="68"/>
      <c r="J16" s="68"/>
      <c r="K16" s="68"/>
      <c r="L16" s="68"/>
      <c r="M16" s="68"/>
      <c r="N16" s="68"/>
      <c r="O16" s="68"/>
      <c r="P16" s="68"/>
      <c r="Q16" s="68"/>
      <c r="R16" s="68"/>
      <c r="S16" s="68"/>
      <c r="T16" s="68"/>
      <c r="U16" s="68"/>
      <c r="V16" s="68"/>
      <c r="W16" s="68"/>
      <c r="X16" s="73">
        <v>602300</v>
      </c>
      <c r="Y16" s="68"/>
      <c r="Z16" s="68"/>
      <c r="AA16" s="33"/>
      <c r="AB16" s="312">
        <v>602300</v>
      </c>
      <c r="AC16" s="313">
        <f t="shared" si="0"/>
        <v>0</v>
      </c>
      <c r="AD16" s="32"/>
      <c r="AE16" s="32"/>
      <c r="AF16" s="32"/>
      <c r="AG16" s="33"/>
      <c r="AH16" s="33"/>
      <c r="AI16" s="33"/>
      <c r="AJ16" s="33"/>
      <c r="AK16" s="34"/>
    </row>
    <row r="17" spans="1:38" s="31" customFormat="1" ht="28.5" customHeight="1">
      <c r="A17" s="12"/>
      <c r="B17" s="22" t="s">
        <v>999</v>
      </c>
      <c r="C17" s="26"/>
      <c r="D17" s="26"/>
      <c r="E17" s="26"/>
      <c r="F17" s="26"/>
      <c r="G17" s="26"/>
      <c r="H17" s="73"/>
      <c r="I17" s="73"/>
      <c r="J17" s="73"/>
      <c r="K17" s="73"/>
      <c r="L17" s="73"/>
      <c r="M17" s="73"/>
      <c r="N17" s="73"/>
      <c r="O17" s="73"/>
      <c r="P17" s="73"/>
      <c r="Q17" s="73"/>
      <c r="R17" s="73"/>
      <c r="S17" s="73"/>
      <c r="T17" s="73"/>
      <c r="U17" s="73"/>
      <c r="V17" s="73"/>
      <c r="W17" s="73"/>
      <c r="X17" s="73">
        <v>13750</v>
      </c>
      <c r="Y17" s="73"/>
      <c r="Z17" s="73"/>
      <c r="AA17" s="37"/>
      <c r="AB17" s="312">
        <v>15000</v>
      </c>
      <c r="AC17" s="313">
        <f t="shared" si="0"/>
        <v>-1250</v>
      </c>
      <c r="AD17" s="36"/>
      <c r="AE17" s="36"/>
      <c r="AF17" s="36">
        <v>10000</v>
      </c>
      <c r="AG17" s="37"/>
      <c r="AH17" s="37"/>
      <c r="AI17" s="37"/>
      <c r="AJ17" s="37"/>
      <c r="AK17" s="24"/>
      <c r="AL17" s="35">
        <f>+X17-AF17</f>
        <v>3750</v>
      </c>
    </row>
    <row r="18" spans="1:38" s="35" customFormat="1" ht="25.5">
      <c r="A18" s="45">
        <v>2</v>
      </c>
      <c r="B18" s="341" t="s">
        <v>309</v>
      </c>
      <c r="C18" s="67"/>
      <c r="D18" s="67"/>
      <c r="E18" s="67"/>
      <c r="F18" s="67"/>
      <c r="G18" s="67"/>
      <c r="H18" s="68"/>
      <c r="I18" s="68"/>
      <c r="J18" s="68"/>
      <c r="K18" s="68"/>
      <c r="L18" s="68"/>
      <c r="M18" s="68"/>
      <c r="N18" s="68"/>
      <c r="O18" s="68"/>
      <c r="P18" s="68"/>
      <c r="Q18" s="68"/>
      <c r="R18" s="68"/>
      <c r="S18" s="68"/>
      <c r="T18" s="68"/>
      <c r="U18" s="68"/>
      <c r="V18" s="68"/>
      <c r="W18" s="68"/>
      <c r="X18" s="68">
        <v>11000</v>
      </c>
      <c r="Y18" s="68"/>
      <c r="Z18" s="68"/>
      <c r="AA18" s="37" t="s">
        <v>470</v>
      </c>
      <c r="AB18" s="310">
        <v>11000</v>
      </c>
      <c r="AC18" s="311">
        <f t="shared" si="0"/>
        <v>0</v>
      </c>
      <c r="AD18" s="36">
        <f>W21-X21</f>
        <v>-0.3690000000060536</v>
      </c>
      <c r="AE18" s="36"/>
      <c r="AF18" s="36">
        <v>10000</v>
      </c>
      <c r="AG18" s="37"/>
      <c r="AH18" s="37"/>
      <c r="AI18" s="37"/>
      <c r="AJ18" s="37"/>
      <c r="AK18" s="34"/>
      <c r="AL18" s="35">
        <f>+X18-AF18</f>
        <v>1000</v>
      </c>
    </row>
    <row r="19" spans="1:38" s="35" customFormat="1" ht="21" customHeight="1">
      <c r="A19" s="45" t="s">
        <v>40</v>
      </c>
      <c r="B19" s="342" t="s">
        <v>754</v>
      </c>
      <c r="C19" s="67"/>
      <c r="D19" s="67"/>
      <c r="E19" s="67"/>
      <c r="F19" s="67"/>
      <c r="G19" s="67"/>
      <c r="H19" s="68">
        <f aca="true" t="shared" si="1" ref="H19:Y19">H20+H385</f>
        <v>6678429.165</v>
      </c>
      <c r="I19" s="68">
        <f t="shared" si="1"/>
        <v>1601318.06</v>
      </c>
      <c r="J19" s="68">
        <f t="shared" si="1"/>
        <v>52592</v>
      </c>
      <c r="K19" s="68">
        <f t="shared" si="1"/>
        <v>719605.7</v>
      </c>
      <c r="L19" s="68">
        <f t="shared" si="1"/>
        <v>551586.1</v>
      </c>
      <c r="M19" s="68" t="e">
        <f t="shared" si="1"/>
        <v>#REF!</v>
      </c>
      <c r="N19" s="68" t="e">
        <f t="shared" si="1"/>
        <v>#REF!</v>
      </c>
      <c r="O19" s="68">
        <f t="shared" si="1"/>
        <v>2720030.386</v>
      </c>
      <c r="P19" s="68">
        <f t="shared" si="1"/>
        <v>422089.9</v>
      </c>
      <c r="Q19" s="68">
        <f t="shared" si="1"/>
        <v>503313</v>
      </c>
      <c r="R19" s="68">
        <f t="shared" si="1"/>
        <v>142199.15399999998</v>
      </c>
      <c r="S19" s="68">
        <f t="shared" si="1"/>
        <v>17711.154</v>
      </c>
      <c r="T19" s="68" t="e">
        <f t="shared" si="1"/>
        <v>#VALUE!</v>
      </c>
      <c r="U19" s="68">
        <f t="shared" si="1"/>
        <v>2945877.07220833</v>
      </c>
      <c r="V19" s="68">
        <f t="shared" si="1"/>
        <v>1942173.4640000002</v>
      </c>
      <c r="W19" s="68">
        <f t="shared" si="1"/>
        <v>330668.51020833006</v>
      </c>
      <c r="X19" s="68">
        <f t="shared" si="1"/>
        <v>627050.1086293301</v>
      </c>
      <c r="Y19" s="68">
        <f t="shared" si="1"/>
        <v>364301.85662933</v>
      </c>
      <c r="Z19" s="68"/>
      <c r="AA19" s="33"/>
      <c r="AB19" s="310">
        <v>628300.0806293301</v>
      </c>
      <c r="AC19" s="311">
        <f t="shared" si="0"/>
        <v>-1249.972000000067</v>
      </c>
      <c r="AD19" s="32"/>
      <c r="AE19" s="32"/>
      <c r="AF19" s="32"/>
      <c r="AG19" s="33"/>
      <c r="AH19" s="33"/>
      <c r="AI19" s="33"/>
      <c r="AJ19" s="33"/>
      <c r="AK19" s="34"/>
      <c r="AL19" s="35">
        <f>+X19-AF19</f>
        <v>627050.1086293301</v>
      </c>
    </row>
    <row r="20" spans="1:38" s="31" customFormat="1" ht="22.5" customHeight="1">
      <c r="A20" s="45" t="s">
        <v>39</v>
      </c>
      <c r="B20" s="221" t="s">
        <v>311</v>
      </c>
      <c r="C20" s="26"/>
      <c r="D20" s="26"/>
      <c r="E20" s="26"/>
      <c r="F20" s="26"/>
      <c r="G20" s="26"/>
      <c r="H20" s="68">
        <f aca="true" t="shared" si="2" ref="H20:Z20">H22+H26+H27+H28+H122</f>
        <v>6630079.165</v>
      </c>
      <c r="I20" s="68">
        <f t="shared" si="2"/>
        <v>1557988.06</v>
      </c>
      <c r="J20" s="68">
        <f t="shared" si="2"/>
        <v>52592</v>
      </c>
      <c r="K20" s="68">
        <f t="shared" si="2"/>
        <v>719605.7</v>
      </c>
      <c r="L20" s="68">
        <f t="shared" si="2"/>
        <v>503236.1</v>
      </c>
      <c r="M20" s="68" t="e">
        <f t="shared" si="2"/>
        <v>#REF!</v>
      </c>
      <c r="N20" s="68" t="e">
        <f t="shared" si="2"/>
        <v>#REF!</v>
      </c>
      <c r="O20" s="68">
        <f t="shared" si="2"/>
        <v>2708894.386</v>
      </c>
      <c r="P20" s="68">
        <f t="shared" si="2"/>
        <v>410953.9</v>
      </c>
      <c r="Q20" s="68">
        <f t="shared" si="2"/>
        <v>487463</v>
      </c>
      <c r="R20" s="68">
        <f t="shared" si="2"/>
        <v>126349.154</v>
      </c>
      <c r="S20" s="68">
        <f t="shared" si="2"/>
        <v>3861.154</v>
      </c>
      <c r="T20" s="68" t="e">
        <f t="shared" si="2"/>
        <v>#VALUE!</v>
      </c>
      <c r="U20" s="68">
        <f t="shared" si="2"/>
        <v>2905451.07220833</v>
      </c>
      <c r="V20" s="68">
        <f t="shared" si="2"/>
        <v>1905303.4640000002</v>
      </c>
      <c r="W20" s="68">
        <f t="shared" si="2"/>
        <v>330668.51020833006</v>
      </c>
      <c r="X20" s="68">
        <f>X22+X26+X27+X28+X122</f>
        <v>616050.1086293301</v>
      </c>
      <c r="Y20" s="68">
        <f t="shared" si="2"/>
        <v>364301.85662933</v>
      </c>
      <c r="Z20" s="68">
        <f t="shared" si="2"/>
        <v>108793</v>
      </c>
      <c r="AA20" s="37"/>
      <c r="AB20" s="310">
        <v>617300.0806293301</v>
      </c>
      <c r="AC20" s="311">
        <f t="shared" si="0"/>
        <v>-1249.972000000067</v>
      </c>
      <c r="AD20" s="36"/>
      <c r="AE20" s="36"/>
      <c r="AF20" s="36">
        <v>553999.55952</v>
      </c>
      <c r="AG20" s="37"/>
      <c r="AH20" s="37"/>
      <c r="AI20" s="37"/>
      <c r="AJ20" s="37"/>
      <c r="AK20" s="24"/>
      <c r="AL20" s="35">
        <f>+X20-AF20</f>
        <v>62050.54910933005</v>
      </c>
    </row>
    <row r="21" spans="1:38" s="38" customFormat="1" ht="19.5" customHeight="1">
      <c r="A21" s="13"/>
      <c r="B21" s="24" t="s">
        <v>748</v>
      </c>
      <c r="C21" s="26"/>
      <c r="D21" s="26"/>
      <c r="E21" s="26"/>
      <c r="F21" s="26"/>
      <c r="G21" s="26"/>
      <c r="H21" s="71"/>
      <c r="I21" s="71"/>
      <c r="J21" s="71"/>
      <c r="K21" s="71"/>
      <c r="L21" s="71"/>
      <c r="M21" s="71"/>
      <c r="N21" s="71"/>
      <c r="O21" s="71"/>
      <c r="P21" s="71"/>
      <c r="Q21" s="72"/>
      <c r="R21" s="71"/>
      <c r="S21" s="71"/>
      <c r="T21" s="71"/>
      <c r="U21" s="343"/>
      <c r="V21" s="343"/>
      <c r="W21" s="73">
        <v>126000</v>
      </c>
      <c r="X21" s="73">
        <f>AD21</f>
        <v>126000.369</v>
      </c>
      <c r="Y21" s="73"/>
      <c r="Z21" s="73"/>
      <c r="AA21" s="37"/>
      <c r="AB21" s="312">
        <v>126000.369</v>
      </c>
      <c r="AC21" s="313">
        <f t="shared" si="0"/>
        <v>0</v>
      </c>
      <c r="AD21" s="36">
        <f>SUM(AD23:AD381)</f>
        <v>126000.369</v>
      </c>
      <c r="AE21" s="36"/>
      <c r="AF21" s="36"/>
      <c r="AG21" s="37"/>
      <c r="AH21" s="37"/>
      <c r="AI21" s="37"/>
      <c r="AJ21" s="37"/>
      <c r="AK21" s="24"/>
      <c r="AL21" s="35"/>
    </row>
    <row r="22" spans="1:38" s="38" customFormat="1" ht="16.5" customHeight="1">
      <c r="A22" s="344" t="s">
        <v>313</v>
      </c>
      <c r="B22" s="345" t="s">
        <v>314</v>
      </c>
      <c r="C22" s="26"/>
      <c r="D22" s="26"/>
      <c r="E22" s="26"/>
      <c r="F22" s="26"/>
      <c r="G22" s="26"/>
      <c r="H22" s="71">
        <v>0</v>
      </c>
      <c r="I22" s="71"/>
      <c r="J22" s="71"/>
      <c r="K22" s="71"/>
      <c r="L22" s="71"/>
      <c r="M22" s="71"/>
      <c r="N22" s="71"/>
      <c r="O22" s="71"/>
      <c r="P22" s="71"/>
      <c r="Q22" s="72"/>
      <c r="R22" s="71"/>
      <c r="S22" s="71"/>
      <c r="T22" s="71"/>
      <c r="U22" s="68"/>
      <c r="V22" s="68"/>
      <c r="W22" s="68"/>
      <c r="X22" s="68">
        <f>SUM(X23:X25)</f>
        <v>84594</v>
      </c>
      <c r="Y22" s="68">
        <f>SUM(Y23:Y25)</f>
        <v>84594</v>
      </c>
      <c r="Z22" s="68"/>
      <c r="AA22" s="37"/>
      <c r="AB22" s="310">
        <v>84594</v>
      </c>
      <c r="AC22" s="311">
        <f t="shared" si="0"/>
        <v>0</v>
      </c>
      <c r="AD22" s="36"/>
      <c r="AE22" s="36"/>
      <c r="AF22" s="36">
        <v>81960</v>
      </c>
      <c r="AG22" s="37"/>
      <c r="AH22" s="37"/>
      <c r="AI22" s="37"/>
      <c r="AJ22" s="37"/>
      <c r="AK22" s="24"/>
      <c r="AL22" s="35">
        <f aca="true" t="shared" si="3" ref="AL22:AL31">+X22-AF22</f>
        <v>2634</v>
      </c>
    </row>
    <row r="23" spans="1:38" s="38" customFormat="1" ht="25.5">
      <c r="A23" s="13">
        <v>1</v>
      </c>
      <c r="B23" s="346" t="s">
        <v>315</v>
      </c>
      <c r="C23" s="26"/>
      <c r="D23" s="26"/>
      <c r="E23" s="26"/>
      <c r="F23" s="26"/>
      <c r="G23" s="26"/>
      <c r="H23" s="71"/>
      <c r="I23" s="71"/>
      <c r="J23" s="71"/>
      <c r="K23" s="71"/>
      <c r="L23" s="71"/>
      <c r="M23" s="71"/>
      <c r="N23" s="71"/>
      <c r="O23" s="71"/>
      <c r="P23" s="71"/>
      <c r="Q23" s="72"/>
      <c r="R23" s="71"/>
      <c r="S23" s="71"/>
      <c r="T23" s="71"/>
      <c r="U23" s="73"/>
      <c r="V23" s="73"/>
      <c r="W23" s="73"/>
      <c r="X23" s="73">
        <v>79000</v>
      </c>
      <c r="Y23" s="73">
        <v>79000</v>
      </c>
      <c r="Z23" s="73"/>
      <c r="AA23" s="37"/>
      <c r="AB23" s="312">
        <v>79000</v>
      </c>
      <c r="AC23" s="313">
        <f t="shared" si="0"/>
        <v>0</v>
      </c>
      <c r="AD23" s="36"/>
      <c r="AE23" s="36"/>
      <c r="AF23" s="36">
        <v>79000</v>
      </c>
      <c r="AG23" s="37"/>
      <c r="AH23" s="37"/>
      <c r="AI23" s="37"/>
      <c r="AJ23" s="37"/>
      <c r="AK23" s="24"/>
      <c r="AL23" s="35">
        <f t="shared" si="3"/>
        <v>0</v>
      </c>
    </row>
    <row r="24" spans="1:38" s="38" customFormat="1" ht="25.5">
      <c r="A24" s="13">
        <v>2</v>
      </c>
      <c r="B24" s="346" t="s">
        <v>316</v>
      </c>
      <c r="C24" s="26"/>
      <c r="D24" s="26"/>
      <c r="E24" s="26"/>
      <c r="F24" s="26"/>
      <c r="G24" s="26"/>
      <c r="H24" s="71"/>
      <c r="I24" s="71"/>
      <c r="J24" s="71"/>
      <c r="K24" s="71"/>
      <c r="L24" s="71"/>
      <c r="M24" s="71"/>
      <c r="N24" s="71"/>
      <c r="O24" s="71"/>
      <c r="P24" s="71"/>
      <c r="Q24" s="72"/>
      <c r="R24" s="71"/>
      <c r="S24" s="71"/>
      <c r="T24" s="71"/>
      <c r="U24" s="73"/>
      <c r="V24" s="73"/>
      <c r="W24" s="73"/>
      <c r="X24" s="73">
        <v>4166</v>
      </c>
      <c r="Y24" s="73">
        <v>4166</v>
      </c>
      <c r="Z24" s="73"/>
      <c r="AA24" s="37"/>
      <c r="AB24" s="312">
        <v>4166</v>
      </c>
      <c r="AC24" s="313">
        <f t="shared" si="0"/>
        <v>0</v>
      </c>
      <c r="AD24" s="36"/>
      <c r="AE24" s="36"/>
      <c r="AF24" s="36">
        <v>1532</v>
      </c>
      <c r="AG24" s="37"/>
      <c r="AH24" s="37"/>
      <c r="AI24" s="37"/>
      <c r="AJ24" s="37"/>
      <c r="AK24" s="24"/>
      <c r="AL24" s="35">
        <f t="shared" si="3"/>
        <v>2634</v>
      </c>
    </row>
    <row r="25" spans="1:38" s="38" customFormat="1" ht="21" customHeight="1">
      <c r="A25" s="13">
        <v>3</v>
      </c>
      <c r="B25" s="346" t="s">
        <v>317</v>
      </c>
      <c r="C25" s="26"/>
      <c r="D25" s="26"/>
      <c r="E25" s="26"/>
      <c r="F25" s="26"/>
      <c r="G25" s="26"/>
      <c r="H25" s="71"/>
      <c r="I25" s="71"/>
      <c r="J25" s="71"/>
      <c r="K25" s="71"/>
      <c r="L25" s="71"/>
      <c r="M25" s="71"/>
      <c r="N25" s="71"/>
      <c r="O25" s="71"/>
      <c r="P25" s="71"/>
      <c r="Q25" s="72"/>
      <c r="R25" s="71"/>
      <c r="S25" s="71"/>
      <c r="T25" s="71"/>
      <c r="U25" s="73"/>
      <c r="V25" s="73"/>
      <c r="W25" s="73"/>
      <c r="X25" s="73">
        <v>1428</v>
      </c>
      <c r="Y25" s="73">
        <v>1428</v>
      </c>
      <c r="Z25" s="73"/>
      <c r="AA25" s="37"/>
      <c r="AB25" s="312">
        <v>1428</v>
      </c>
      <c r="AC25" s="313">
        <f t="shared" si="0"/>
        <v>0</v>
      </c>
      <c r="AD25" s="36"/>
      <c r="AE25" s="36"/>
      <c r="AF25" s="36">
        <v>1428</v>
      </c>
      <c r="AG25" s="37"/>
      <c r="AH25" s="37"/>
      <c r="AI25" s="37"/>
      <c r="AJ25" s="37"/>
      <c r="AK25" s="24"/>
      <c r="AL25" s="35">
        <f t="shared" si="3"/>
        <v>0</v>
      </c>
    </row>
    <row r="26" spans="1:38" s="35" customFormat="1" ht="25.5">
      <c r="A26" s="45" t="s">
        <v>318</v>
      </c>
      <c r="B26" s="34" t="s">
        <v>321</v>
      </c>
      <c r="C26" s="67"/>
      <c r="D26" s="67"/>
      <c r="E26" s="67"/>
      <c r="F26" s="67"/>
      <c r="G26" s="67"/>
      <c r="H26" s="69">
        <v>0</v>
      </c>
      <c r="I26" s="69"/>
      <c r="J26" s="69"/>
      <c r="K26" s="69"/>
      <c r="L26" s="69"/>
      <c r="M26" s="69"/>
      <c r="N26" s="69"/>
      <c r="O26" s="69"/>
      <c r="P26" s="69"/>
      <c r="Q26" s="70"/>
      <c r="R26" s="69"/>
      <c r="S26" s="69"/>
      <c r="T26" s="69"/>
      <c r="U26" s="68"/>
      <c r="V26" s="68"/>
      <c r="W26" s="68"/>
      <c r="X26" s="68">
        <v>13750</v>
      </c>
      <c r="Y26" s="68"/>
      <c r="Z26" s="68"/>
      <c r="AA26" s="37" t="s">
        <v>470</v>
      </c>
      <c r="AB26" s="310">
        <v>15000</v>
      </c>
      <c r="AC26" s="311">
        <f t="shared" si="0"/>
        <v>-1250</v>
      </c>
      <c r="AD26" s="36"/>
      <c r="AE26" s="36"/>
      <c r="AF26" s="36">
        <v>10000</v>
      </c>
      <c r="AG26" s="37"/>
      <c r="AH26" s="37"/>
      <c r="AI26" s="37"/>
      <c r="AJ26" s="37"/>
      <c r="AK26" s="34"/>
      <c r="AL26" s="35">
        <f t="shared" si="3"/>
        <v>3750</v>
      </c>
    </row>
    <row r="27" spans="1:38" s="35" customFormat="1" ht="41.25" customHeight="1">
      <c r="A27" s="45" t="s">
        <v>320</v>
      </c>
      <c r="B27" s="347" t="s">
        <v>500</v>
      </c>
      <c r="C27" s="67"/>
      <c r="D27" s="67"/>
      <c r="E27" s="67"/>
      <c r="F27" s="67"/>
      <c r="G27" s="67"/>
      <c r="H27" s="69">
        <v>0</v>
      </c>
      <c r="I27" s="69"/>
      <c r="J27" s="69"/>
      <c r="K27" s="69"/>
      <c r="L27" s="69"/>
      <c r="M27" s="69"/>
      <c r="N27" s="69"/>
      <c r="O27" s="69"/>
      <c r="P27" s="69"/>
      <c r="Q27" s="70"/>
      <c r="R27" s="69"/>
      <c r="S27" s="69"/>
      <c r="T27" s="69"/>
      <c r="U27" s="275">
        <v>77847</v>
      </c>
      <c r="V27" s="275">
        <f>U27</f>
        <v>77847</v>
      </c>
      <c r="W27" s="68"/>
      <c r="X27" s="68">
        <v>12750</v>
      </c>
      <c r="Y27" s="68"/>
      <c r="Z27" s="68"/>
      <c r="AA27" s="37" t="s">
        <v>470</v>
      </c>
      <c r="AB27" s="310">
        <v>12750</v>
      </c>
      <c r="AC27" s="311">
        <f t="shared" si="0"/>
        <v>0</v>
      </c>
      <c r="AD27" s="36"/>
      <c r="AE27" s="36"/>
      <c r="AF27" s="32">
        <v>12750</v>
      </c>
      <c r="AG27" s="33"/>
      <c r="AH27" s="33"/>
      <c r="AI27" s="33"/>
      <c r="AJ27" s="33"/>
      <c r="AK27" s="34"/>
      <c r="AL27" s="35">
        <f t="shared" si="3"/>
        <v>0</v>
      </c>
    </row>
    <row r="28" spans="1:40" s="35" customFormat="1" ht="18.75" customHeight="1">
      <c r="A28" s="45" t="s">
        <v>501</v>
      </c>
      <c r="B28" s="34" t="s">
        <v>337</v>
      </c>
      <c r="C28" s="67"/>
      <c r="D28" s="67"/>
      <c r="E28" s="67"/>
      <c r="F28" s="67"/>
      <c r="G28" s="67"/>
      <c r="H28" s="69">
        <v>0</v>
      </c>
      <c r="I28" s="69"/>
      <c r="J28" s="69"/>
      <c r="K28" s="69"/>
      <c r="L28" s="69"/>
      <c r="M28" s="69"/>
      <c r="N28" s="69"/>
      <c r="O28" s="69"/>
      <c r="P28" s="69"/>
      <c r="Q28" s="70"/>
      <c r="R28" s="69"/>
      <c r="S28" s="69"/>
      <c r="T28" s="69"/>
      <c r="U28" s="68">
        <f>SUM(U31:U121)</f>
        <v>800018.9</v>
      </c>
      <c r="V28" s="68">
        <f>SUM(V31:V121)</f>
        <v>795618.9</v>
      </c>
      <c r="W28" s="68">
        <f>SUM(W31:W121)</f>
        <v>0</v>
      </c>
      <c r="X28" s="68">
        <f>SUM(X31:X121)</f>
        <v>10352</v>
      </c>
      <c r="Y28" s="68"/>
      <c r="Z28" s="68">
        <f>SUM(Z31:Z374)</f>
        <v>99433</v>
      </c>
      <c r="AA28" s="33"/>
      <c r="AB28" s="310">
        <v>10353</v>
      </c>
      <c r="AC28" s="311">
        <f t="shared" si="0"/>
        <v>-1</v>
      </c>
      <c r="AD28" s="32"/>
      <c r="AE28" s="32"/>
      <c r="AF28" s="32">
        <v>8701</v>
      </c>
      <c r="AG28" s="33"/>
      <c r="AH28" s="33"/>
      <c r="AI28" s="262">
        <f>SUM(AI31:AI108)</f>
        <v>212893.767255</v>
      </c>
      <c r="AJ28" s="262">
        <f>SUM(AJ31:AJ108)</f>
        <v>220568.69460540157</v>
      </c>
      <c r="AK28" s="34"/>
      <c r="AL28" s="35">
        <f t="shared" si="3"/>
        <v>1651</v>
      </c>
      <c r="AM28" s="265">
        <v>0.014579999698348462</v>
      </c>
      <c r="AN28" s="35">
        <f>+V28-596715</f>
        <v>198903.90000000002</v>
      </c>
    </row>
    <row r="29" spans="1:38" s="35" customFormat="1" ht="18" customHeight="1">
      <c r="A29" s="45" t="s">
        <v>41</v>
      </c>
      <c r="B29" s="34" t="s">
        <v>352</v>
      </c>
      <c r="C29" s="67"/>
      <c r="D29" s="67"/>
      <c r="E29" s="67"/>
      <c r="F29" s="67"/>
      <c r="G29" s="67"/>
      <c r="H29" s="69"/>
      <c r="I29" s="69"/>
      <c r="J29" s="69"/>
      <c r="K29" s="69"/>
      <c r="L29" s="69"/>
      <c r="M29" s="69"/>
      <c r="N29" s="69"/>
      <c r="O29" s="69"/>
      <c r="P29" s="69"/>
      <c r="Q29" s="70"/>
      <c r="R29" s="69"/>
      <c r="S29" s="69"/>
      <c r="T29" s="69"/>
      <c r="U29" s="68"/>
      <c r="V29" s="68"/>
      <c r="W29" s="68"/>
      <c r="X29" s="68"/>
      <c r="Y29" s="68"/>
      <c r="Z29" s="68"/>
      <c r="AA29" s="37"/>
      <c r="AB29" s="310"/>
      <c r="AC29" s="311">
        <f t="shared" si="0"/>
        <v>0</v>
      </c>
      <c r="AD29" s="36"/>
      <c r="AE29" s="36"/>
      <c r="AF29" s="266">
        <f>AA28/V28</f>
        <v>0</v>
      </c>
      <c r="AG29" s="37"/>
      <c r="AH29" s="37"/>
      <c r="AI29" s="37"/>
      <c r="AJ29" s="37"/>
      <c r="AK29" s="34"/>
      <c r="AL29" s="35">
        <f t="shared" si="3"/>
        <v>0</v>
      </c>
    </row>
    <row r="30" spans="1:38" s="35" customFormat="1" ht="27.75" customHeight="1">
      <c r="A30" s="45" t="s">
        <v>40</v>
      </c>
      <c r="B30" s="34" t="s">
        <v>496</v>
      </c>
      <c r="C30" s="67"/>
      <c r="D30" s="67"/>
      <c r="E30" s="67"/>
      <c r="F30" s="67"/>
      <c r="G30" s="67">
        <f>A38+A46+A54+A62+A74+A84+A94+A103+A110+A115+A117+A121</f>
        <v>81</v>
      </c>
      <c r="H30" s="69"/>
      <c r="I30" s="69"/>
      <c r="J30" s="69"/>
      <c r="K30" s="69"/>
      <c r="L30" s="69"/>
      <c r="M30" s="69"/>
      <c r="N30" s="69"/>
      <c r="O30" s="69"/>
      <c r="P30" s="69"/>
      <c r="Q30" s="70"/>
      <c r="R30" s="69"/>
      <c r="S30" s="69"/>
      <c r="T30" s="69"/>
      <c r="U30" s="68"/>
      <c r="V30" s="68"/>
      <c r="W30" s="68"/>
      <c r="X30" s="68"/>
      <c r="Y30" s="68" t="s">
        <v>59</v>
      </c>
      <c r="Z30" s="68"/>
      <c r="AA30" s="37"/>
      <c r="AB30" s="310"/>
      <c r="AC30" s="311">
        <f t="shared" si="0"/>
        <v>0</v>
      </c>
      <c r="AD30" s="36"/>
      <c r="AE30" s="36"/>
      <c r="AF30" s="36"/>
      <c r="AG30" s="267">
        <f>SUM(AG31:AG36)</f>
        <v>20000</v>
      </c>
      <c r="AH30" s="33">
        <f>AI123</f>
        <v>-340262.96581</v>
      </c>
      <c r="AI30" s="33">
        <f>AG30+AH30</f>
        <v>-320262.96581</v>
      </c>
      <c r="AJ30" s="34">
        <f>AA123</f>
        <v>43084.8994425213</v>
      </c>
      <c r="AK30" s="34">
        <f>AI30-AJ30</f>
        <v>-363347.86525252135</v>
      </c>
      <c r="AL30" s="35">
        <f t="shared" si="3"/>
        <v>0</v>
      </c>
    </row>
    <row r="31" spans="1:38" s="38" customFormat="1" ht="38.25">
      <c r="A31" s="13">
        <v>1</v>
      </c>
      <c r="B31" s="24" t="s">
        <v>146</v>
      </c>
      <c r="C31" s="26" t="s">
        <v>289</v>
      </c>
      <c r="D31" s="26"/>
      <c r="E31" s="26"/>
      <c r="F31" s="26"/>
      <c r="G31" s="13" t="s">
        <v>549</v>
      </c>
      <c r="H31" s="71">
        <v>6500</v>
      </c>
      <c r="I31" s="71">
        <v>6500</v>
      </c>
      <c r="J31" s="71"/>
      <c r="K31" s="71"/>
      <c r="L31" s="71"/>
      <c r="M31" s="71"/>
      <c r="N31" s="71"/>
      <c r="O31" s="71"/>
      <c r="P31" s="71"/>
      <c r="Q31" s="72"/>
      <c r="R31" s="71"/>
      <c r="S31" s="71"/>
      <c r="T31" s="71"/>
      <c r="U31" s="73">
        <v>6500</v>
      </c>
      <c r="V31" s="73">
        <v>6500</v>
      </c>
      <c r="W31" s="73"/>
      <c r="X31" s="73">
        <f>ROUND(V31*0.013011,0)</f>
        <v>85</v>
      </c>
      <c r="Y31" s="73"/>
      <c r="Z31" s="73"/>
      <c r="AA31" s="37" t="s">
        <v>849</v>
      </c>
      <c r="AB31" s="312">
        <v>82</v>
      </c>
      <c r="AC31" s="313">
        <f t="shared" si="0"/>
        <v>3</v>
      </c>
      <c r="AD31" s="36"/>
      <c r="AE31" s="36">
        <f>SUM(U31:U38)</f>
        <v>80108.9</v>
      </c>
      <c r="AF31" s="36">
        <v>100.49000000000001</v>
      </c>
      <c r="AG31" s="37">
        <v>2500</v>
      </c>
      <c r="AH31" s="37"/>
      <c r="AI31" s="37"/>
      <c r="AJ31" s="37"/>
      <c r="AK31" s="24"/>
      <c r="AL31" s="35">
        <f t="shared" si="3"/>
        <v>-15.490000000000009</v>
      </c>
    </row>
    <row r="32" spans="1:38" s="564" customFormat="1" ht="33.75">
      <c r="A32" s="551">
        <v>2</v>
      </c>
      <c r="B32" s="552" t="s">
        <v>843</v>
      </c>
      <c r="C32" s="553"/>
      <c r="D32" s="553"/>
      <c r="E32" s="553"/>
      <c r="F32" s="553"/>
      <c r="G32" s="554" t="s">
        <v>844</v>
      </c>
      <c r="H32" s="555"/>
      <c r="I32" s="555"/>
      <c r="J32" s="555"/>
      <c r="K32" s="555"/>
      <c r="L32" s="555"/>
      <c r="M32" s="555"/>
      <c r="N32" s="555"/>
      <c r="O32" s="555"/>
      <c r="P32" s="555"/>
      <c r="Q32" s="556"/>
      <c r="R32" s="555"/>
      <c r="S32" s="555"/>
      <c r="T32" s="555"/>
      <c r="U32" s="557">
        <v>9658.9</v>
      </c>
      <c r="V32" s="557">
        <f>U32</f>
        <v>9658.9</v>
      </c>
      <c r="W32" s="557"/>
      <c r="X32" s="73">
        <f aca="true" t="shared" si="4" ref="X32:X95">ROUND(V32*0.013011,0)</f>
        <v>126</v>
      </c>
      <c r="Y32" s="557"/>
      <c r="Z32" s="557"/>
      <c r="AA32" s="558" t="s">
        <v>845</v>
      </c>
      <c r="AB32" s="559">
        <v>122</v>
      </c>
      <c r="AC32" s="560">
        <f t="shared" si="0"/>
        <v>4</v>
      </c>
      <c r="AD32" s="561">
        <f>X32</f>
        <v>126</v>
      </c>
      <c r="AE32" s="561"/>
      <c r="AF32" s="561" t="s">
        <v>846</v>
      </c>
      <c r="AG32" s="561"/>
      <c r="AH32" s="558"/>
      <c r="AI32" s="558"/>
      <c r="AJ32" s="558"/>
      <c r="AK32" s="562"/>
      <c r="AL32" s="563"/>
    </row>
    <row r="33" spans="1:38" s="38" customFormat="1" ht="25.5">
      <c r="A33" s="13">
        <v>3</v>
      </c>
      <c r="B33" s="24" t="s">
        <v>483</v>
      </c>
      <c r="C33" s="26" t="s">
        <v>289</v>
      </c>
      <c r="D33" s="26"/>
      <c r="E33" s="26"/>
      <c r="F33" s="26"/>
      <c r="G33" s="26"/>
      <c r="H33" s="71"/>
      <c r="I33" s="71"/>
      <c r="J33" s="71"/>
      <c r="K33" s="71"/>
      <c r="L33" s="71"/>
      <c r="M33" s="71"/>
      <c r="N33" s="71"/>
      <c r="O33" s="71"/>
      <c r="P33" s="71"/>
      <c r="Q33" s="72"/>
      <c r="R33" s="71"/>
      <c r="S33" s="71"/>
      <c r="T33" s="71"/>
      <c r="U33" s="73">
        <v>2500</v>
      </c>
      <c r="V33" s="73">
        <f>U33</f>
        <v>2500</v>
      </c>
      <c r="W33" s="73"/>
      <c r="X33" s="73">
        <f>ROUND(V33*0.013011,0)+1</f>
        <v>34</v>
      </c>
      <c r="Y33" s="73"/>
      <c r="Z33" s="73"/>
      <c r="AA33" s="37" t="s">
        <v>849</v>
      </c>
      <c r="AB33" s="312">
        <v>32</v>
      </c>
      <c r="AC33" s="313">
        <f t="shared" si="0"/>
        <v>2</v>
      </c>
      <c r="AD33" s="36"/>
      <c r="AE33" s="36"/>
      <c r="AF33" s="36">
        <v>40</v>
      </c>
      <c r="AG33" s="37">
        <v>1000</v>
      </c>
      <c r="AH33" s="37"/>
      <c r="AI33" s="37"/>
      <c r="AJ33" s="37"/>
      <c r="AK33" s="24"/>
      <c r="AL33" s="35">
        <f>+X33-AF33</f>
        <v>-6</v>
      </c>
    </row>
    <row r="34" spans="1:38" s="564" customFormat="1" ht="25.5">
      <c r="A34" s="551">
        <v>5</v>
      </c>
      <c r="B34" s="565" t="s">
        <v>871</v>
      </c>
      <c r="C34" s="553"/>
      <c r="D34" s="553"/>
      <c r="E34" s="553"/>
      <c r="F34" s="553"/>
      <c r="G34" s="553"/>
      <c r="H34" s="555"/>
      <c r="I34" s="555"/>
      <c r="J34" s="555"/>
      <c r="K34" s="555"/>
      <c r="L34" s="555"/>
      <c r="M34" s="555"/>
      <c r="N34" s="555"/>
      <c r="O34" s="555" t="s">
        <v>59</v>
      </c>
      <c r="P34" s="555"/>
      <c r="Q34" s="556"/>
      <c r="R34" s="555"/>
      <c r="S34" s="555"/>
      <c r="T34" s="555"/>
      <c r="U34" s="566">
        <v>10000</v>
      </c>
      <c r="V34" s="566">
        <v>10000</v>
      </c>
      <c r="W34" s="557"/>
      <c r="X34" s="73">
        <f t="shared" si="4"/>
        <v>130</v>
      </c>
      <c r="Y34" s="557"/>
      <c r="Z34" s="557"/>
      <c r="AA34" s="558" t="s">
        <v>849</v>
      </c>
      <c r="AB34" s="559">
        <v>126</v>
      </c>
      <c r="AC34" s="560">
        <f t="shared" si="0"/>
        <v>4</v>
      </c>
      <c r="AD34" s="561">
        <f>X34</f>
        <v>130</v>
      </c>
      <c r="AE34" s="561"/>
      <c r="AF34" s="561"/>
      <c r="AG34" s="558"/>
      <c r="AH34" s="558"/>
      <c r="AI34" s="558"/>
      <c r="AJ34" s="558"/>
      <c r="AK34" s="562"/>
      <c r="AL34" s="563"/>
    </row>
    <row r="35" spans="1:38" s="564" customFormat="1" ht="25.5">
      <c r="A35" s="551">
        <v>6</v>
      </c>
      <c r="B35" s="565" t="s">
        <v>937</v>
      </c>
      <c r="C35" s="553"/>
      <c r="D35" s="553"/>
      <c r="E35" s="553"/>
      <c r="F35" s="553"/>
      <c r="G35" s="553"/>
      <c r="H35" s="555"/>
      <c r="I35" s="555"/>
      <c r="J35" s="555"/>
      <c r="K35" s="555"/>
      <c r="L35" s="555"/>
      <c r="M35" s="555"/>
      <c r="N35" s="555"/>
      <c r="O35" s="555"/>
      <c r="P35" s="555"/>
      <c r="Q35" s="556"/>
      <c r="R35" s="555"/>
      <c r="S35" s="555"/>
      <c r="T35" s="555"/>
      <c r="U35" s="566">
        <v>3300</v>
      </c>
      <c r="V35" s="566">
        <v>3300</v>
      </c>
      <c r="W35" s="557"/>
      <c r="X35" s="73">
        <f>ROUND(V35*0.013011,0)</f>
        <v>43</v>
      </c>
      <c r="Y35" s="557"/>
      <c r="Z35" s="557"/>
      <c r="AA35" s="558" t="s">
        <v>938</v>
      </c>
      <c r="AB35" s="559"/>
      <c r="AC35" s="560"/>
      <c r="AD35" s="561">
        <f>+X35</f>
        <v>43</v>
      </c>
      <c r="AE35" s="561"/>
      <c r="AF35" s="561"/>
      <c r="AG35" s="558"/>
      <c r="AH35" s="558"/>
      <c r="AI35" s="558"/>
      <c r="AJ35" s="558"/>
      <c r="AK35" s="562"/>
      <c r="AL35" s="563"/>
    </row>
    <row r="36" spans="1:38" s="38" customFormat="1" ht="25.5">
      <c r="A36" s="13">
        <v>7</v>
      </c>
      <c r="B36" s="24" t="s">
        <v>484</v>
      </c>
      <c r="C36" s="26" t="s">
        <v>289</v>
      </c>
      <c r="D36" s="26"/>
      <c r="E36" s="26"/>
      <c r="F36" s="26"/>
      <c r="G36" s="26"/>
      <c r="H36" s="71" t="s">
        <v>59</v>
      </c>
      <c r="I36" s="71"/>
      <c r="J36" s="71"/>
      <c r="K36" s="71"/>
      <c r="L36" s="71"/>
      <c r="M36" s="71"/>
      <c r="N36" s="71"/>
      <c r="O36" s="71"/>
      <c r="P36" s="71"/>
      <c r="Q36" s="72"/>
      <c r="R36" s="71"/>
      <c r="S36" s="71"/>
      <c r="T36" s="71"/>
      <c r="U36" s="73">
        <v>45000</v>
      </c>
      <c r="V36" s="73">
        <f>U36</f>
        <v>45000</v>
      </c>
      <c r="W36" s="73"/>
      <c r="X36" s="73">
        <f t="shared" si="4"/>
        <v>585</v>
      </c>
      <c r="Y36" s="73"/>
      <c r="Z36" s="73"/>
      <c r="AA36" s="37" t="s">
        <v>849</v>
      </c>
      <c r="AB36" s="312">
        <v>566</v>
      </c>
      <c r="AC36" s="313">
        <f aca="true" t="shared" si="5" ref="AC36:AC51">+X36-AB36</f>
        <v>19</v>
      </c>
      <c r="AD36" s="36"/>
      <c r="AE36" s="36"/>
      <c r="AF36" s="36">
        <v>695.7</v>
      </c>
      <c r="AG36" s="37">
        <v>16500</v>
      </c>
      <c r="AH36" s="37"/>
      <c r="AI36" s="37"/>
      <c r="AJ36" s="37"/>
      <c r="AK36" s="24"/>
      <c r="AL36" s="35">
        <f>+X36-AF36</f>
        <v>-110.70000000000005</v>
      </c>
    </row>
    <row r="37" spans="1:38" s="41" customFormat="1" ht="37.5" customHeight="1">
      <c r="A37" s="13">
        <v>8</v>
      </c>
      <c r="B37" s="348" t="s">
        <v>305</v>
      </c>
      <c r="C37" s="54" t="s">
        <v>289</v>
      </c>
      <c r="D37" s="54"/>
      <c r="E37" s="54">
        <f>A37</f>
        <v>8</v>
      </c>
      <c r="F37" s="54"/>
      <c r="G37" s="54"/>
      <c r="H37" s="72"/>
      <c r="I37" s="72"/>
      <c r="J37" s="72"/>
      <c r="K37" s="72"/>
      <c r="L37" s="72"/>
      <c r="M37" s="72"/>
      <c r="N37" s="72"/>
      <c r="O37" s="72"/>
      <c r="P37" s="72"/>
      <c r="Q37" s="350"/>
      <c r="R37" s="72"/>
      <c r="S37" s="72"/>
      <c r="T37" s="72"/>
      <c r="U37" s="343">
        <v>2500</v>
      </c>
      <c r="V37" s="343">
        <v>2500</v>
      </c>
      <c r="W37" s="343"/>
      <c r="X37" s="73">
        <f t="shared" si="4"/>
        <v>33</v>
      </c>
      <c r="Y37" s="343"/>
      <c r="Z37" s="343"/>
      <c r="AA37" s="37" t="s">
        <v>849</v>
      </c>
      <c r="AB37" s="312">
        <v>32</v>
      </c>
      <c r="AC37" s="313">
        <f t="shared" si="5"/>
        <v>1</v>
      </c>
      <c r="AD37" s="36"/>
      <c r="AE37" s="36"/>
      <c r="AF37" s="36">
        <v>1500</v>
      </c>
      <c r="AG37" s="37"/>
      <c r="AH37" s="37">
        <f>V37-X37</f>
        <v>2467</v>
      </c>
      <c r="AI37" s="37"/>
      <c r="AJ37" s="37"/>
      <c r="AK37" s="24">
        <f>X37</f>
        <v>33</v>
      </c>
      <c r="AL37" s="35">
        <f>+X37-AF37</f>
        <v>-1467</v>
      </c>
    </row>
    <row r="38" spans="1:38" s="38" customFormat="1" ht="25.5">
      <c r="A38" s="13">
        <v>9</v>
      </c>
      <c r="B38" s="348" t="s">
        <v>737</v>
      </c>
      <c r="C38" s="26"/>
      <c r="D38" s="26"/>
      <c r="E38" s="26"/>
      <c r="F38" s="26"/>
      <c r="G38" s="26"/>
      <c r="H38" s="71"/>
      <c r="I38" s="71"/>
      <c r="J38" s="71"/>
      <c r="K38" s="71"/>
      <c r="L38" s="71"/>
      <c r="M38" s="71"/>
      <c r="N38" s="71"/>
      <c r="O38" s="71"/>
      <c r="P38" s="71"/>
      <c r="Q38" s="72"/>
      <c r="R38" s="71"/>
      <c r="S38" s="71"/>
      <c r="T38" s="71"/>
      <c r="U38" s="73">
        <v>650</v>
      </c>
      <c r="V38" s="73">
        <f>U38</f>
        <v>650</v>
      </c>
      <c r="W38" s="73"/>
      <c r="X38" s="73">
        <f t="shared" si="4"/>
        <v>8</v>
      </c>
      <c r="Y38" s="73"/>
      <c r="Z38" s="73"/>
      <c r="AA38" s="37" t="s">
        <v>849</v>
      </c>
      <c r="AB38" s="312">
        <v>8</v>
      </c>
      <c r="AC38" s="313">
        <f t="shared" si="5"/>
        <v>0</v>
      </c>
      <c r="AD38" s="36"/>
      <c r="AE38" s="36"/>
      <c r="AF38" s="36"/>
      <c r="AG38" s="36"/>
      <c r="AH38" s="37"/>
      <c r="AI38" s="37"/>
      <c r="AJ38" s="37"/>
      <c r="AK38" s="24"/>
      <c r="AL38" s="35"/>
    </row>
    <row r="39" spans="1:243" s="39" customFormat="1" ht="31.5" customHeight="1">
      <c r="A39" s="67" t="s">
        <v>43</v>
      </c>
      <c r="B39" s="351" t="s">
        <v>355</v>
      </c>
      <c r="C39" s="6"/>
      <c r="D39" s="67"/>
      <c r="E39" s="67"/>
      <c r="F39" s="67"/>
      <c r="G39" s="67"/>
      <c r="H39" s="69"/>
      <c r="I39" s="69"/>
      <c r="J39" s="69"/>
      <c r="K39" s="69"/>
      <c r="L39" s="69"/>
      <c r="M39" s="69"/>
      <c r="N39" s="352"/>
      <c r="O39" s="69"/>
      <c r="P39" s="69"/>
      <c r="Q39" s="69"/>
      <c r="R39" s="69"/>
      <c r="S39" s="69"/>
      <c r="T39" s="69"/>
      <c r="U39" s="69"/>
      <c r="V39" s="69"/>
      <c r="W39" s="69"/>
      <c r="X39" s="73">
        <f t="shared" si="4"/>
        <v>0</v>
      </c>
      <c r="Y39" s="69"/>
      <c r="Z39" s="69"/>
      <c r="AA39" s="37"/>
      <c r="AB39" s="312">
        <v>0</v>
      </c>
      <c r="AC39" s="313">
        <f t="shared" si="5"/>
        <v>0</v>
      </c>
      <c r="AD39" s="36"/>
      <c r="AE39" s="36"/>
      <c r="AF39" s="268">
        <v>0</v>
      </c>
      <c r="AG39" s="267">
        <f>SUM(AG40:AG43)</f>
        <v>21594.3</v>
      </c>
      <c r="AH39" s="33">
        <f>AH137</f>
        <v>34373</v>
      </c>
      <c r="AI39" s="33">
        <f>AG39+AH39</f>
        <v>55967.3</v>
      </c>
      <c r="AJ39" s="33">
        <f>AA137</f>
        <v>45560.853419927684</v>
      </c>
      <c r="AK39" s="34">
        <f>AI39-AJ39</f>
        <v>10406.44658007232</v>
      </c>
      <c r="AL39" s="35">
        <f>+X39-AF39</f>
        <v>0</v>
      </c>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row>
    <row r="40" spans="1:243" s="39" customFormat="1" ht="25.5">
      <c r="A40" s="26">
        <v>1</v>
      </c>
      <c r="B40" s="349" t="s">
        <v>510</v>
      </c>
      <c r="C40" s="75" t="s">
        <v>66</v>
      </c>
      <c r="D40" s="67"/>
      <c r="E40" s="67"/>
      <c r="F40" s="67"/>
      <c r="G40" s="67"/>
      <c r="H40" s="69"/>
      <c r="I40" s="69"/>
      <c r="J40" s="69"/>
      <c r="K40" s="69"/>
      <c r="L40" s="69"/>
      <c r="M40" s="69"/>
      <c r="N40" s="352"/>
      <c r="O40" s="69"/>
      <c r="P40" s="69"/>
      <c r="Q40" s="69"/>
      <c r="R40" s="69"/>
      <c r="S40" s="69"/>
      <c r="T40" s="69"/>
      <c r="U40" s="343">
        <v>32000</v>
      </c>
      <c r="V40" s="343">
        <v>32000</v>
      </c>
      <c r="W40" s="69"/>
      <c r="X40" s="73">
        <f t="shared" si="4"/>
        <v>416</v>
      </c>
      <c r="Y40" s="69"/>
      <c r="Z40" s="69"/>
      <c r="AA40" s="37" t="s">
        <v>850</v>
      </c>
      <c r="AB40" s="312">
        <v>405</v>
      </c>
      <c r="AC40" s="313">
        <f t="shared" si="5"/>
        <v>11</v>
      </c>
      <c r="AD40" s="36"/>
      <c r="AE40" s="36"/>
      <c r="AF40" s="36">
        <v>494.72</v>
      </c>
      <c r="AG40" s="37">
        <f>V40/100*35</f>
        <v>11200</v>
      </c>
      <c r="AH40" s="37"/>
      <c r="AI40" s="37"/>
      <c r="AJ40" s="37"/>
      <c r="AK40" s="34"/>
      <c r="AL40" s="35">
        <f>+X40-AF40</f>
        <v>-78.72000000000003</v>
      </c>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row>
    <row r="41" spans="1:243" s="40" customFormat="1" ht="25.5">
      <c r="A41" s="25">
        <v>2</v>
      </c>
      <c r="B41" s="77" t="s">
        <v>0</v>
      </c>
      <c r="C41" s="75" t="s">
        <v>66</v>
      </c>
      <c r="D41" s="26"/>
      <c r="E41" s="26"/>
      <c r="F41" s="26"/>
      <c r="G41" s="26"/>
      <c r="H41" s="71"/>
      <c r="I41" s="71"/>
      <c r="J41" s="71"/>
      <c r="K41" s="71"/>
      <c r="L41" s="71"/>
      <c r="M41" s="71"/>
      <c r="N41" s="353"/>
      <c r="O41" s="71"/>
      <c r="P41" s="71"/>
      <c r="Q41" s="71"/>
      <c r="R41" s="71"/>
      <c r="S41" s="71"/>
      <c r="T41" s="71"/>
      <c r="U41" s="71">
        <v>9000</v>
      </c>
      <c r="V41" s="71">
        <f>U41</f>
        <v>9000</v>
      </c>
      <c r="W41" s="71"/>
      <c r="X41" s="73">
        <f t="shared" si="4"/>
        <v>117</v>
      </c>
      <c r="Y41" s="69"/>
      <c r="Z41" s="69"/>
      <c r="AA41" s="37" t="s">
        <v>850</v>
      </c>
      <c r="AB41" s="312">
        <v>114</v>
      </c>
      <c r="AC41" s="313">
        <f t="shared" si="5"/>
        <v>3</v>
      </c>
      <c r="AD41" s="36"/>
      <c r="AE41" s="36"/>
      <c r="AF41" s="36">
        <v>139.14000000000001</v>
      </c>
      <c r="AG41" s="37">
        <f>V41/100*35</f>
        <v>3150</v>
      </c>
      <c r="AH41" s="37"/>
      <c r="AI41" s="37"/>
      <c r="AJ41" s="37"/>
      <c r="AK41" s="24"/>
      <c r="AL41" s="35">
        <f>+X41-AF41</f>
        <v>-22.140000000000015</v>
      </c>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row>
    <row r="42" spans="1:243" s="40" customFormat="1" ht="38.25">
      <c r="A42" s="26">
        <v>3</v>
      </c>
      <c r="B42" s="354" t="s">
        <v>2</v>
      </c>
      <c r="C42" s="75" t="s">
        <v>66</v>
      </c>
      <c r="D42" s="26"/>
      <c r="E42" s="26"/>
      <c r="F42" s="26"/>
      <c r="G42" s="26"/>
      <c r="H42" s="71"/>
      <c r="I42" s="71"/>
      <c r="J42" s="71"/>
      <c r="K42" s="71"/>
      <c r="L42" s="71"/>
      <c r="M42" s="71"/>
      <c r="N42" s="353"/>
      <c r="O42" s="71"/>
      <c r="P42" s="71"/>
      <c r="Q42" s="71"/>
      <c r="R42" s="71"/>
      <c r="S42" s="71"/>
      <c r="T42" s="71"/>
      <c r="U42" s="343">
        <f>V42+W42</f>
        <v>14000</v>
      </c>
      <c r="V42" s="343">
        <v>14000</v>
      </c>
      <c r="W42" s="71"/>
      <c r="X42" s="73">
        <f t="shared" si="4"/>
        <v>182</v>
      </c>
      <c r="Y42" s="69"/>
      <c r="Z42" s="69"/>
      <c r="AA42" s="37" t="s">
        <v>850</v>
      </c>
      <c r="AB42" s="312">
        <v>177</v>
      </c>
      <c r="AC42" s="313">
        <f t="shared" si="5"/>
        <v>5</v>
      </c>
      <c r="AD42" s="36"/>
      <c r="AE42" s="36"/>
      <c r="AF42" s="36">
        <v>216.44</v>
      </c>
      <c r="AG42" s="37">
        <f>V42/100*35</f>
        <v>4900</v>
      </c>
      <c r="AH42" s="37"/>
      <c r="AI42" s="37"/>
      <c r="AJ42" s="37"/>
      <c r="AK42" s="24"/>
      <c r="AL42" s="35">
        <f>+X42-AF42</f>
        <v>-34.44</v>
      </c>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row>
    <row r="43" spans="1:243" s="40" customFormat="1" ht="25.5">
      <c r="A43" s="25">
        <v>4</v>
      </c>
      <c r="B43" s="349" t="s">
        <v>11</v>
      </c>
      <c r="C43" s="75" t="s">
        <v>66</v>
      </c>
      <c r="D43" s="26"/>
      <c r="E43" s="26">
        <f>A43</f>
        <v>4</v>
      </c>
      <c r="F43" s="26"/>
      <c r="G43" s="26"/>
      <c r="H43" s="71"/>
      <c r="I43" s="71"/>
      <c r="J43" s="71"/>
      <c r="K43" s="71"/>
      <c r="L43" s="71"/>
      <c r="M43" s="71"/>
      <c r="N43" s="353"/>
      <c r="O43" s="71"/>
      <c r="P43" s="71"/>
      <c r="Q43" s="71"/>
      <c r="R43" s="71"/>
      <c r="S43" s="71"/>
      <c r="T43" s="71"/>
      <c r="U43" s="24">
        <v>6698</v>
      </c>
      <c r="V43" s="24">
        <v>6698</v>
      </c>
      <c r="W43" s="71"/>
      <c r="X43" s="73">
        <f t="shared" si="4"/>
        <v>87</v>
      </c>
      <c r="Y43" s="69"/>
      <c r="Z43" s="69"/>
      <c r="AA43" s="37" t="s">
        <v>850</v>
      </c>
      <c r="AB43" s="312">
        <v>85</v>
      </c>
      <c r="AC43" s="313">
        <f t="shared" si="5"/>
        <v>2</v>
      </c>
      <c r="AD43" s="36"/>
      <c r="AE43" s="36"/>
      <c r="AF43" s="36">
        <v>103.55108000000001</v>
      </c>
      <c r="AG43" s="37">
        <f>V43/100*35</f>
        <v>2344.3</v>
      </c>
      <c r="AH43" s="37"/>
      <c r="AI43" s="37"/>
      <c r="AJ43" s="37"/>
      <c r="AK43" s="24"/>
      <c r="AL43" s="35">
        <f>+X43-AF43</f>
        <v>-16.551080000000013</v>
      </c>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row>
    <row r="44" spans="1:243" s="40" customFormat="1" ht="43.5" customHeight="1">
      <c r="A44" s="26">
        <v>5</v>
      </c>
      <c r="B44" s="256" t="s">
        <v>911</v>
      </c>
      <c r="C44" s="75"/>
      <c r="D44" s="26"/>
      <c r="E44" s="26"/>
      <c r="F44" s="26"/>
      <c r="G44" s="26"/>
      <c r="H44" s="71"/>
      <c r="I44" s="71"/>
      <c r="J44" s="71"/>
      <c r="K44" s="71"/>
      <c r="L44" s="71"/>
      <c r="M44" s="71"/>
      <c r="N44" s="353"/>
      <c r="O44" s="71"/>
      <c r="P44" s="71"/>
      <c r="Q44" s="71"/>
      <c r="R44" s="71"/>
      <c r="S44" s="71"/>
      <c r="T44" s="71"/>
      <c r="U44" s="350">
        <v>8000</v>
      </c>
      <c r="V44" s="350">
        <f>U44</f>
        <v>8000</v>
      </c>
      <c r="W44" s="71"/>
      <c r="X44" s="73">
        <f t="shared" si="4"/>
        <v>104</v>
      </c>
      <c r="Y44" s="69"/>
      <c r="Z44" s="69"/>
      <c r="AA44" s="37" t="s">
        <v>850</v>
      </c>
      <c r="AB44" s="312">
        <v>101</v>
      </c>
      <c r="AC44" s="313">
        <f t="shared" si="5"/>
        <v>3</v>
      </c>
      <c r="AD44" s="36"/>
      <c r="AE44" s="36"/>
      <c r="AF44" s="36" t="s">
        <v>634</v>
      </c>
      <c r="AG44" s="36"/>
      <c r="AH44" s="37"/>
      <c r="AI44" s="37"/>
      <c r="AJ44" s="37"/>
      <c r="AK44" s="24"/>
      <c r="AL44" s="35"/>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row>
    <row r="45" spans="1:243" s="572" customFormat="1" ht="25.5">
      <c r="A45" s="567">
        <v>6</v>
      </c>
      <c r="B45" s="565" t="s">
        <v>858</v>
      </c>
      <c r="C45" s="568"/>
      <c r="D45" s="553"/>
      <c r="E45" s="553"/>
      <c r="F45" s="553"/>
      <c r="G45" s="553"/>
      <c r="H45" s="555"/>
      <c r="I45" s="555"/>
      <c r="J45" s="555"/>
      <c r="K45" s="555"/>
      <c r="L45" s="555"/>
      <c r="M45" s="555"/>
      <c r="N45" s="569"/>
      <c r="O45" s="555"/>
      <c r="P45" s="555"/>
      <c r="Q45" s="555"/>
      <c r="R45" s="555"/>
      <c r="S45" s="555"/>
      <c r="T45" s="555"/>
      <c r="U45" s="566">
        <v>8000</v>
      </c>
      <c r="V45" s="566">
        <f>U45</f>
        <v>8000</v>
      </c>
      <c r="W45" s="555"/>
      <c r="X45" s="73">
        <f t="shared" si="4"/>
        <v>104</v>
      </c>
      <c r="Y45" s="570"/>
      <c r="Z45" s="570"/>
      <c r="AA45" s="558" t="s">
        <v>850</v>
      </c>
      <c r="AB45" s="559">
        <v>101</v>
      </c>
      <c r="AC45" s="560">
        <f t="shared" si="5"/>
        <v>3</v>
      </c>
      <c r="AD45" s="561">
        <f>X45</f>
        <v>104</v>
      </c>
      <c r="AE45" s="561"/>
      <c r="AF45" s="561"/>
      <c r="AG45" s="561"/>
      <c r="AH45" s="558"/>
      <c r="AI45" s="558"/>
      <c r="AJ45" s="558"/>
      <c r="AK45" s="562"/>
      <c r="AL45" s="563"/>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c r="CY45" s="571"/>
      <c r="CZ45" s="571"/>
      <c r="DA45" s="571"/>
      <c r="DB45" s="571"/>
      <c r="DC45" s="571"/>
      <c r="DD45" s="571"/>
      <c r="DE45" s="571"/>
      <c r="DF45" s="571"/>
      <c r="DG45" s="571"/>
      <c r="DH45" s="571"/>
      <c r="DI45" s="571"/>
      <c r="DJ45" s="571"/>
      <c r="DK45" s="571"/>
      <c r="DL45" s="571"/>
      <c r="DM45" s="571"/>
      <c r="DN45" s="571"/>
      <c r="DO45" s="571"/>
      <c r="DP45" s="571"/>
      <c r="DQ45" s="571"/>
      <c r="DR45" s="571"/>
      <c r="DS45" s="571"/>
      <c r="DT45" s="571"/>
      <c r="DU45" s="571"/>
      <c r="DV45" s="571"/>
      <c r="DW45" s="571"/>
      <c r="DX45" s="571"/>
      <c r="DY45" s="571"/>
      <c r="DZ45" s="571"/>
      <c r="EA45" s="571"/>
      <c r="EB45" s="571"/>
      <c r="EC45" s="571"/>
      <c r="ED45" s="571"/>
      <c r="EE45" s="571"/>
      <c r="EF45" s="571"/>
      <c r="EG45" s="571"/>
      <c r="EH45" s="571"/>
      <c r="EI45" s="571"/>
      <c r="EJ45" s="571"/>
      <c r="EK45" s="571"/>
      <c r="EL45" s="571"/>
      <c r="EM45" s="571"/>
      <c r="EN45" s="571"/>
      <c r="EO45" s="571"/>
      <c r="EP45" s="571"/>
      <c r="EQ45" s="571"/>
      <c r="ER45" s="571"/>
      <c r="ES45" s="571"/>
      <c r="ET45" s="571"/>
      <c r="EU45" s="571"/>
      <c r="EV45" s="571"/>
      <c r="EW45" s="571"/>
      <c r="EX45" s="571"/>
      <c r="EY45" s="571"/>
      <c r="EZ45" s="571"/>
      <c r="FA45" s="571"/>
      <c r="FB45" s="571"/>
      <c r="FC45" s="571"/>
      <c r="FD45" s="571"/>
      <c r="FE45" s="571"/>
      <c r="FF45" s="571"/>
      <c r="FG45" s="571"/>
      <c r="FH45" s="571"/>
      <c r="FI45" s="571"/>
      <c r="FJ45" s="571"/>
      <c r="FK45" s="571"/>
      <c r="FL45" s="571"/>
      <c r="FM45" s="571"/>
      <c r="FN45" s="571"/>
      <c r="FO45" s="571"/>
      <c r="FP45" s="571"/>
      <c r="FQ45" s="571"/>
      <c r="FR45" s="571"/>
      <c r="FS45" s="571"/>
      <c r="FT45" s="571"/>
      <c r="FU45" s="571"/>
      <c r="FV45" s="571"/>
      <c r="FW45" s="571"/>
      <c r="FX45" s="571"/>
      <c r="FY45" s="571"/>
      <c r="FZ45" s="571"/>
      <c r="GA45" s="571"/>
      <c r="GB45" s="571"/>
      <c r="GC45" s="571"/>
      <c r="GD45" s="571"/>
      <c r="GE45" s="571"/>
      <c r="GF45" s="571"/>
      <c r="GG45" s="571"/>
      <c r="GH45" s="571"/>
      <c r="GI45" s="571"/>
      <c r="GJ45" s="571"/>
      <c r="GK45" s="571"/>
      <c r="GL45" s="571"/>
      <c r="GM45" s="571"/>
      <c r="GN45" s="571"/>
      <c r="GO45" s="571"/>
      <c r="GP45" s="571"/>
      <c r="GQ45" s="571"/>
      <c r="GR45" s="571"/>
      <c r="GS45" s="571"/>
      <c r="GT45" s="571"/>
      <c r="GU45" s="571"/>
      <c r="GV45" s="571"/>
      <c r="GW45" s="571"/>
      <c r="GX45" s="571"/>
      <c r="GY45" s="571"/>
      <c r="GZ45" s="571"/>
      <c r="HA45" s="571"/>
      <c r="HB45" s="571"/>
      <c r="HC45" s="571"/>
      <c r="HD45" s="571"/>
      <c r="HE45" s="571"/>
      <c r="HF45" s="571"/>
      <c r="HG45" s="571"/>
      <c r="HH45" s="571"/>
      <c r="HI45" s="571"/>
      <c r="HJ45" s="571"/>
      <c r="HK45" s="571"/>
      <c r="HL45" s="571"/>
      <c r="HM45" s="571"/>
      <c r="HN45" s="571"/>
      <c r="HO45" s="571"/>
      <c r="HP45" s="571"/>
      <c r="HQ45" s="571"/>
      <c r="HR45" s="571"/>
      <c r="HS45" s="571"/>
      <c r="HT45" s="571"/>
      <c r="HU45" s="571"/>
      <c r="HV45" s="571"/>
      <c r="HW45" s="571"/>
      <c r="HX45" s="571"/>
      <c r="HY45" s="571"/>
      <c r="HZ45" s="571"/>
      <c r="IA45" s="571"/>
      <c r="IB45" s="571"/>
      <c r="IC45" s="571"/>
      <c r="ID45" s="571"/>
      <c r="IE45" s="571"/>
      <c r="IF45" s="571"/>
      <c r="IG45" s="571"/>
      <c r="IH45" s="571"/>
      <c r="II45" s="571"/>
    </row>
    <row r="46" spans="1:243" s="40" customFormat="1" ht="19.5" customHeight="1">
      <c r="A46" s="26">
        <v>7</v>
      </c>
      <c r="B46" s="348" t="s">
        <v>570</v>
      </c>
      <c r="C46" s="75"/>
      <c r="D46" s="26"/>
      <c r="E46" s="26"/>
      <c r="F46" s="26"/>
      <c r="G46" s="26"/>
      <c r="H46" s="71"/>
      <c r="I46" s="71"/>
      <c r="J46" s="71"/>
      <c r="K46" s="71"/>
      <c r="L46" s="71"/>
      <c r="M46" s="71"/>
      <c r="N46" s="353"/>
      <c r="O46" s="71"/>
      <c r="P46" s="71"/>
      <c r="Q46" s="71"/>
      <c r="R46" s="71"/>
      <c r="S46" s="71"/>
      <c r="T46" s="71"/>
      <c r="U46" s="343">
        <v>13493</v>
      </c>
      <c r="V46" s="24">
        <f>U46</f>
        <v>13493</v>
      </c>
      <c r="W46" s="71"/>
      <c r="X46" s="73">
        <f t="shared" si="4"/>
        <v>176</v>
      </c>
      <c r="Y46" s="69"/>
      <c r="Z46" s="69"/>
      <c r="AA46" s="37" t="s">
        <v>822</v>
      </c>
      <c r="AB46" s="312">
        <v>171</v>
      </c>
      <c r="AC46" s="313">
        <f t="shared" si="5"/>
        <v>5</v>
      </c>
      <c r="AD46" s="36"/>
      <c r="AE46" s="36">
        <f>SUM(U48:U54)</f>
        <v>48000</v>
      </c>
      <c r="AF46" s="36"/>
      <c r="AG46" s="36"/>
      <c r="AH46" s="37"/>
      <c r="AI46" s="37"/>
      <c r="AJ46" s="37"/>
      <c r="AK46" s="24"/>
      <c r="AL46" s="35"/>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row>
    <row r="47" spans="1:243" s="40" customFormat="1" ht="24.75" customHeight="1">
      <c r="A47" s="67" t="s">
        <v>44</v>
      </c>
      <c r="B47" s="351" t="s">
        <v>356</v>
      </c>
      <c r="C47" s="75"/>
      <c r="D47" s="26"/>
      <c r="E47" s="26"/>
      <c r="F47" s="26"/>
      <c r="G47" s="26"/>
      <c r="H47" s="71"/>
      <c r="I47" s="71"/>
      <c r="J47" s="71"/>
      <c r="K47" s="71"/>
      <c r="L47" s="71"/>
      <c r="M47" s="71"/>
      <c r="N47" s="353"/>
      <c r="O47" s="71"/>
      <c r="P47" s="71"/>
      <c r="Q47" s="71"/>
      <c r="R47" s="71"/>
      <c r="S47" s="71"/>
      <c r="T47" s="71"/>
      <c r="U47" s="71"/>
      <c r="V47" s="71"/>
      <c r="W47" s="71"/>
      <c r="X47" s="73">
        <f t="shared" si="4"/>
        <v>0</v>
      </c>
      <c r="Y47" s="71"/>
      <c r="Z47" s="71"/>
      <c r="AA47" s="67"/>
      <c r="AB47" s="312">
        <v>0</v>
      </c>
      <c r="AC47" s="313">
        <f t="shared" si="5"/>
        <v>0</v>
      </c>
      <c r="AD47" s="315"/>
      <c r="AE47" s="315"/>
      <c r="AF47" s="36">
        <v>0</v>
      </c>
      <c r="AG47" s="269">
        <f>SUM(AG48:AG54)</f>
        <v>9975</v>
      </c>
      <c r="AH47" s="270">
        <f>AH161</f>
        <v>3790</v>
      </c>
      <c r="AI47" s="271">
        <f>AG47+AH47</f>
        <v>13765</v>
      </c>
      <c r="AJ47" s="270">
        <f>AA161</f>
        <v>27158.790802755975</v>
      </c>
      <c r="AK47" s="271">
        <f>AI47-AJ47</f>
        <v>-13393.790802755975</v>
      </c>
      <c r="AL47" s="35">
        <f>+X47-AF47</f>
        <v>0</v>
      </c>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row>
    <row r="48" spans="1:38" s="41" customFormat="1" ht="25.5">
      <c r="A48" s="208">
        <v>1</v>
      </c>
      <c r="B48" s="348" t="s">
        <v>487</v>
      </c>
      <c r="C48" s="355" t="s">
        <v>6</v>
      </c>
      <c r="D48" s="54"/>
      <c r="E48" s="54"/>
      <c r="F48" s="75"/>
      <c r="G48" s="356"/>
      <c r="H48" s="72"/>
      <c r="I48" s="72"/>
      <c r="J48" s="72"/>
      <c r="K48" s="72"/>
      <c r="L48" s="72"/>
      <c r="M48" s="72"/>
      <c r="N48" s="72"/>
      <c r="O48" s="72"/>
      <c r="P48" s="72"/>
      <c r="Q48" s="72"/>
      <c r="R48" s="72"/>
      <c r="S48" s="72"/>
      <c r="T48" s="72"/>
      <c r="U48" s="343">
        <v>5000</v>
      </c>
      <c r="V48" s="343">
        <f aca="true" t="shared" si="6" ref="V48:V54">U48</f>
        <v>5000</v>
      </c>
      <c r="W48" s="343"/>
      <c r="X48" s="73">
        <f t="shared" si="4"/>
        <v>65</v>
      </c>
      <c r="Y48" s="343"/>
      <c r="Z48" s="343"/>
      <c r="AA48" s="37" t="s">
        <v>842</v>
      </c>
      <c r="AB48" s="312">
        <v>63</v>
      </c>
      <c r="AC48" s="313">
        <f t="shared" si="5"/>
        <v>2</v>
      </c>
      <c r="AD48" s="36"/>
      <c r="AE48" s="36"/>
      <c r="AF48" s="36">
        <v>77.3</v>
      </c>
      <c r="AG48" s="37">
        <f>V48/100*35</f>
        <v>1750</v>
      </c>
      <c r="AH48" s="37"/>
      <c r="AI48" s="37"/>
      <c r="AJ48" s="37"/>
      <c r="AK48" s="24"/>
      <c r="AL48" s="35">
        <f>+X48-AF48</f>
        <v>-12.299999999999997</v>
      </c>
    </row>
    <row r="49" spans="1:35" s="41" customFormat="1" ht="30" customHeight="1">
      <c r="A49" s="541">
        <v>2</v>
      </c>
      <c r="B49" s="542" t="s">
        <v>974</v>
      </c>
      <c r="C49" s="543" t="s">
        <v>6</v>
      </c>
      <c r="D49" s="544"/>
      <c r="E49" s="544"/>
      <c r="F49" s="545"/>
      <c r="G49" s="546"/>
      <c r="H49" s="547"/>
      <c r="I49" s="547"/>
      <c r="J49" s="547"/>
      <c r="K49" s="547"/>
      <c r="L49" s="547"/>
      <c r="M49" s="547"/>
      <c r="N49" s="547"/>
      <c r="O49" s="547"/>
      <c r="P49" s="547"/>
      <c r="Q49" s="547"/>
      <c r="R49" s="547"/>
      <c r="S49" s="547"/>
      <c r="T49" s="547"/>
      <c r="U49" s="548">
        <v>6500</v>
      </c>
      <c r="V49" s="549">
        <f t="shared" si="6"/>
        <v>6500</v>
      </c>
      <c r="W49" s="549"/>
      <c r="X49" s="73">
        <f t="shared" si="4"/>
        <v>85</v>
      </c>
      <c r="Y49" s="549"/>
      <c r="Z49" s="549"/>
      <c r="AA49" s="165" t="s">
        <v>842</v>
      </c>
      <c r="AB49" s="36"/>
      <c r="AC49" s="36">
        <v>100.49000000000001</v>
      </c>
      <c r="AD49" s="37"/>
      <c r="AE49" s="37"/>
      <c r="AF49" s="37"/>
      <c r="AG49" s="37"/>
      <c r="AH49" s="24"/>
      <c r="AI49" s="35">
        <f>+X49-AC49</f>
        <v>-15.490000000000009</v>
      </c>
    </row>
    <row r="50" spans="1:38" s="41" customFormat="1" ht="25.5">
      <c r="A50" s="208">
        <v>3</v>
      </c>
      <c r="B50" s="349" t="s">
        <v>528</v>
      </c>
      <c r="C50" s="355"/>
      <c r="D50" s="54"/>
      <c r="E50" s="54"/>
      <c r="F50" s="75"/>
      <c r="G50" s="356"/>
      <c r="H50" s="72" t="s">
        <v>59</v>
      </c>
      <c r="I50" s="72"/>
      <c r="J50" s="72"/>
      <c r="K50" s="72"/>
      <c r="L50" s="72"/>
      <c r="M50" s="72"/>
      <c r="N50" s="72"/>
      <c r="O50" s="72"/>
      <c r="P50" s="72"/>
      <c r="Q50" s="72"/>
      <c r="R50" s="72"/>
      <c r="S50" s="72"/>
      <c r="T50" s="72"/>
      <c r="U50" s="24">
        <v>7500</v>
      </c>
      <c r="V50" s="24">
        <f t="shared" si="6"/>
        <v>7500</v>
      </c>
      <c r="W50" s="343"/>
      <c r="X50" s="73">
        <f t="shared" si="4"/>
        <v>98</v>
      </c>
      <c r="Y50" s="343"/>
      <c r="Z50" s="343"/>
      <c r="AA50" s="37" t="s">
        <v>842</v>
      </c>
      <c r="AB50" s="312">
        <v>95</v>
      </c>
      <c r="AC50" s="313">
        <f t="shared" si="5"/>
        <v>3</v>
      </c>
      <c r="AD50" s="36"/>
      <c r="AE50" s="36"/>
      <c r="AF50" s="36">
        <v>108.22</v>
      </c>
      <c r="AG50" s="37">
        <f>V50/100*35</f>
        <v>2625</v>
      </c>
      <c r="AH50" s="37"/>
      <c r="AI50" s="37"/>
      <c r="AJ50" s="37"/>
      <c r="AK50" s="24"/>
      <c r="AL50" s="35">
        <f>+X50-AF50</f>
        <v>-10.219999999999999</v>
      </c>
    </row>
    <row r="51" spans="1:38" s="41" customFormat="1" ht="25.5">
      <c r="A51" s="208">
        <v>4</v>
      </c>
      <c r="B51" s="357" t="s">
        <v>641</v>
      </c>
      <c r="C51" s="355"/>
      <c r="D51" s="54"/>
      <c r="E51" s="54"/>
      <c r="F51" s="75"/>
      <c r="G51" s="356"/>
      <c r="H51" s="72"/>
      <c r="I51" s="72"/>
      <c r="J51" s="72"/>
      <c r="K51" s="72"/>
      <c r="L51" s="72"/>
      <c r="M51" s="72"/>
      <c r="N51" s="72"/>
      <c r="O51" s="72"/>
      <c r="P51" s="72"/>
      <c r="Q51" s="72"/>
      <c r="R51" s="72"/>
      <c r="S51" s="72"/>
      <c r="T51" s="72"/>
      <c r="U51" s="350">
        <v>7500</v>
      </c>
      <c r="V51" s="350">
        <f>U51</f>
        <v>7500</v>
      </c>
      <c r="W51" s="343"/>
      <c r="X51" s="73">
        <f t="shared" si="4"/>
        <v>98</v>
      </c>
      <c r="Y51" s="343"/>
      <c r="Z51" s="343"/>
      <c r="AA51" s="37" t="s">
        <v>842</v>
      </c>
      <c r="AB51" s="312">
        <v>95</v>
      </c>
      <c r="AC51" s="313">
        <f t="shared" si="5"/>
        <v>3</v>
      </c>
      <c r="AD51" s="36"/>
      <c r="AE51" s="36"/>
      <c r="AF51" s="36"/>
      <c r="AG51" s="37"/>
      <c r="AH51" s="37"/>
      <c r="AI51" s="37"/>
      <c r="AJ51" s="37"/>
      <c r="AK51" s="24"/>
      <c r="AL51" s="35"/>
    </row>
    <row r="52" spans="1:38" s="579" customFormat="1" ht="21" customHeight="1">
      <c r="A52" s="573">
        <v>5</v>
      </c>
      <c r="B52" s="574" t="s">
        <v>939</v>
      </c>
      <c r="C52" s="575"/>
      <c r="D52" s="576"/>
      <c r="E52" s="576"/>
      <c r="F52" s="568"/>
      <c r="G52" s="577"/>
      <c r="H52" s="556"/>
      <c r="I52" s="556"/>
      <c r="J52" s="556"/>
      <c r="K52" s="556"/>
      <c r="L52" s="556"/>
      <c r="M52" s="556"/>
      <c r="N52" s="556"/>
      <c r="O52" s="556"/>
      <c r="P52" s="556"/>
      <c r="Q52" s="556"/>
      <c r="R52" s="556"/>
      <c r="S52" s="556"/>
      <c r="T52" s="556"/>
      <c r="U52" s="578">
        <v>5500</v>
      </c>
      <c r="V52" s="578">
        <v>5500</v>
      </c>
      <c r="W52" s="566"/>
      <c r="X52" s="73">
        <f t="shared" si="4"/>
        <v>72</v>
      </c>
      <c r="Y52" s="566"/>
      <c r="Z52" s="566"/>
      <c r="AA52" s="558" t="s">
        <v>938</v>
      </c>
      <c r="AB52" s="559"/>
      <c r="AC52" s="560"/>
      <c r="AD52" s="561">
        <f>+X52</f>
        <v>72</v>
      </c>
      <c r="AE52" s="561"/>
      <c r="AF52" s="561"/>
      <c r="AG52" s="558"/>
      <c r="AH52" s="558"/>
      <c r="AI52" s="558"/>
      <c r="AJ52" s="558"/>
      <c r="AK52" s="562"/>
      <c r="AL52" s="563"/>
    </row>
    <row r="53" spans="1:38" s="579" customFormat="1" ht="25.5">
      <c r="A53" s="573">
        <v>6</v>
      </c>
      <c r="B53" s="580" t="s">
        <v>569</v>
      </c>
      <c r="C53" s="575"/>
      <c r="D53" s="576"/>
      <c r="E53" s="576"/>
      <c r="F53" s="568"/>
      <c r="G53" s="577"/>
      <c r="H53" s="556"/>
      <c r="I53" s="556"/>
      <c r="J53" s="556"/>
      <c r="K53" s="556"/>
      <c r="L53" s="556"/>
      <c r="M53" s="556"/>
      <c r="N53" s="556"/>
      <c r="O53" s="556"/>
      <c r="P53" s="556"/>
      <c r="Q53" s="556"/>
      <c r="R53" s="556"/>
      <c r="S53" s="556"/>
      <c r="T53" s="556"/>
      <c r="U53" s="566">
        <v>8000</v>
      </c>
      <c r="V53" s="566">
        <f t="shared" si="6"/>
        <v>8000</v>
      </c>
      <c r="W53" s="566"/>
      <c r="X53" s="73">
        <f t="shared" si="4"/>
        <v>104</v>
      </c>
      <c r="Y53" s="566"/>
      <c r="Z53" s="566"/>
      <c r="AA53" s="558" t="s">
        <v>842</v>
      </c>
      <c r="AB53" s="559">
        <v>101</v>
      </c>
      <c r="AC53" s="560">
        <f aca="true" t="shared" si="7" ref="AC53:AC83">+X53-AB53</f>
        <v>3</v>
      </c>
      <c r="AD53" s="561">
        <f>X53</f>
        <v>104</v>
      </c>
      <c r="AE53" s="561"/>
      <c r="AF53" s="561"/>
      <c r="AG53" s="558">
        <f>V53/100*35</f>
        <v>2800</v>
      </c>
      <c r="AH53" s="558"/>
      <c r="AI53" s="558"/>
      <c r="AJ53" s="558"/>
      <c r="AK53" s="562"/>
      <c r="AL53" s="563"/>
    </row>
    <row r="54" spans="1:38" s="41" customFormat="1" ht="25.5">
      <c r="A54" s="208">
        <v>7</v>
      </c>
      <c r="B54" s="348" t="s">
        <v>488</v>
      </c>
      <c r="C54" s="355" t="s">
        <v>6</v>
      </c>
      <c r="D54" s="54"/>
      <c r="E54" s="54">
        <f>A54</f>
        <v>7</v>
      </c>
      <c r="F54" s="75"/>
      <c r="G54" s="356"/>
      <c r="H54" s="72"/>
      <c r="I54" s="72" t="s">
        <v>59</v>
      </c>
      <c r="J54" s="72"/>
      <c r="K54" s="72"/>
      <c r="L54" s="72"/>
      <c r="M54" s="72"/>
      <c r="N54" s="72"/>
      <c r="O54" s="72"/>
      <c r="P54" s="72"/>
      <c r="Q54" s="72"/>
      <c r="R54" s="72"/>
      <c r="S54" s="72"/>
      <c r="T54" s="72"/>
      <c r="U54" s="343">
        <v>8000</v>
      </c>
      <c r="V54" s="343">
        <f t="shared" si="6"/>
        <v>8000</v>
      </c>
      <c r="W54" s="343"/>
      <c r="X54" s="73">
        <f t="shared" si="4"/>
        <v>104</v>
      </c>
      <c r="Y54" s="343"/>
      <c r="Z54" s="343"/>
      <c r="AA54" s="37" t="s">
        <v>825</v>
      </c>
      <c r="AB54" s="312">
        <v>101</v>
      </c>
      <c r="AC54" s="313">
        <f t="shared" si="7"/>
        <v>3</v>
      </c>
      <c r="AD54" s="36"/>
      <c r="AE54" s="36"/>
      <c r="AF54" s="36">
        <v>123.68</v>
      </c>
      <c r="AG54" s="37">
        <f>V54/100*35</f>
        <v>2800</v>
      </c>
      <c r="AH54" s="37"/>
      <c r="AI54" s="37"/>
      <c r="AJ54" s="37"/>
      <c r="AK54" s="24"/>
      <c r="AL54" s="35">
        <f>+X54-AF54</f>
        <v>-19.680000000000007</v>
      </c>
    </row>
    <row r="55" spans="1:243" s="40" customFormat="1" ht="12.75">
      <c r="A55" s="67" t="s">
        <v>45</v>
      </c>
      <c r="B55" s="34" t="s">
        <v>358</v>
      </c>
      <c r="C55" s="75"/>
      <c r="D55" s="26"/>
      <c r="E55" s="26"/>
      <c r="F55" s="26"/>
      <c r="G55" s="358"/>
      <c r="H55" s="358"/>
      <c r="I55" s="358"/>
      <c r="J55" s="71"/>
      <c r="K55" s="71"/>
      <c r="L55" s="71"/>
      <c r="M55" s="71"/>
      <c r="N55" s="353"/>
      <c r="O55" s="71"/>
      <c r="P55" s="71"/>
      <c r="Q55" s="71"/>
      <c r="R55" s="71"/>
      <c r="S55" s="71"/>
      <c r="T55" s="71"/>
      <c r="U55" s="343"/>
      <c r="V55" s="343"/>
      <c r="W55" s="71"/>
      <c r="X55" s="73">
        <f t="shared" si="4"/>
        <v>0</v>
      </c>
      <c r="Y55" s="71"/>
      <c r="Z55" s="71"/>
      <c r="AA55" s="33"/>
      <c r="AB55" s="312">
        <v>0</v>
      </c>
      <c r="AC55" s="313">
        <f t="shared" si="7"/>
        <v>0</v>
      </c>
      <c r="AD55" s="32"/>
      <c r="AE55" s="32"/>
      <c r="AF55" s="267">
        <v>0</v>
      </c>
      <c r="AG55" s="267">
        <f>SUM(AG56:AG57)</f>
        <v>6125</v>
      </c>
      <c r="AH55" s="33">
        <f>AH182</f>
        <v>8984.808555</v>
      </c>
      <c r="AI55" s="33">
        <f>AG55+AH55</f>
        <v>15109.808555</v>
      </c>
      <c r="AJ55" s="33">
        <f>AA182</f>
        <v>22600.000695510273</v>
      </c>
      <c r="AK55" s="34">
        <f>AI55-AJ55</f>
        <v>-7490.192140510273</v>
      </c>
      <c r="AL55" s="35">
        <f>+X55-AF55</f>
        <v>0</v>
      </c>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row>
    <row r="56" spans="1:243" s="40" customFormat="1" ht="38.25">
      <c r="A56" s="25">
        <v>1</v>
      </c>
      <c r="B56" s="359" t="s">
        <v>186</v>
      </c>
      <c r="C56" s="75" t="s">
        <v>220</v>
      </c>
      <c r="D56" s="26"/>
      <c r="E56" s="26"/>
      <c r="F56" s="26"/>
      <c r="G56" s="356" t="s">
        <v>815</v>
      </c>
      <c r="H56" s="356">
        <v>9500</v>
      </c>
      <c r="I56" s="356">
        <f>H56</f>
        <v>9500</v>
      </c>
      <c r="J56" s="71"/>
      <c r="K56" s="71"/>
      <c r="L56" s="71"/>
      <c r="M56" s="71"/>
      <c r="N56" s="353"/>
      <c r="O56" s="71"/>
      <c r="P56" s="71"/>
      <c r="Q56" s="71"/>
      <c r="R56" s="71"/>
      <c r="S56" s="71"/>
      <c r="T56" s="71"/>
      <c r="U56" s="343">
        <f>V56</f>
        <v>9500</v>
      </c>
      <c r="V56" s="343">
        <v>9500</v>
      </c>
      <c r="W56" s="71"/>
      <c r="X56" s="73">
        <f t="shared" si="4"/>
        <v>124</v>
      </c>
      <c r="Y56" s="69"/>
      <c r="Z56" s="69"/>
      <c r="AA56" s="37" t="s">
        <v>826</v>
      </c>
      <c r="AB56" s="312">
        <v>120</v>
      </c>
      <c r="AC56" s="313">
        <f t="shared" si="7"/>
        <v>4</v>
      </c>
      <c r="AD56" s="36"/>
      <c r="AE56" s="36">
        <f>SUM(U56:U62)</f>
        <v>68478</v>
      </c>
      <c r="AF56" s="36">
        <v>146.87</v>
      </c>
      <c r="AG56" s="37">
        <f>V56/100*35</f>
        <v>3325</v>
      </c>
      <c r="AH56" s="37"/>
      <c r="AI56" s="37"/>
      <c r="AJ56" s="37"/>
      <c r="AK56" s="24"/>
      <c r="AL56" s="35">
        <f>+X56-AF56</f>
        <v>-22.870000000000005</v>
      </c>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row>
    <row r="57" spans="1:243" s="40" customFormat="1" ht="38.25">
      <c r="A57" s="25">
        <v>2</v>
      </c>
      <c r="B57" s="348" t="s">
        <v>276</v>
      </c>
      <c r="C57" s="75" t="s">
        <v>220</v>
      </c>
      <c r="D57" s="26"/>
      <c r="E57" s="26"/>
      <c r="F57" s="26"/>
      <c r="G57" s="26"/>
      <c r="H57" s="71" t="s">
        <v>59</v>
      </c>
      <c r="I57" s="71"/>
      <c r="J57" s="71"/>
      <c r="K57" s="71"/>
      <c r="L57" s="71"/>
      <c r="M57" s="71"/>
      <c r="N57" s="353"/>
      <c r="O57" s="71"/>
      <c r="P57" s="71"/>
      <c r="Q57" s="71"/>
      <c r="R57" s="71"/>
      <c r="S57" s="71"/>
      <c r="T57" s="71"/>
      <c r="U57" s="343">
        <v>8000</v>
      </c>
      <c r="V57" s="343">
        <v>8000</v>
      </c>
      <c r="W57" s="71"/>
      <c r="X57" s="73">
        <f t="shared" si="4"/>
        <v>104</v>
      </c>
      <c r="Y57" s="69"/>
      <c r="Z57" s="69"/>
      <c r="AA57" s="37" t="s">
        <v>826</v>
      </c>
      <c r="AB57" s="312">
        <v>101</v>
      </c>
      <c r="AC57" s="313">
        <f t="shared" si="7"/>
        <v>3</v>
      </c>
      <c r="AD57" s="36"/>
      <c r="AE57" s="36"/>
      <c r="AF57" s="36">
        <v>123.68</v>
      </c>
      <c r="AG57" s="37">
        <f>V57/100*35</f>
        <v>2800</v>
      </c>
      <c r="AH57" s="37"/>
      <c r="AI57" s="37"/>
      <c r="AJ57" s="37"/>
      <c r="AK57" s="24"/>
      <c r="AL57" s="35">
        <f>+X57-AF57</f>
        <v>-19.680000000000007</v>
      </c>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row>
    <row r="58" spans="1:34" s="41" customFormat="1" ht="51">
      <c r="A58" s="25">
        <v>3</v>
      </c>
      <c r="B58" s="348" t="s">
        <v>910</v>
      </c>
      <c r="C58" s="54" t="s">
        <v>220</v>
      </c>
      <c r="D58" s="54"/>
      <c r="E58" s="296"/>
      <c r="F58" s="54"/>
      <c r="G58" s="72"/>
      <c r="H58" s="72"/>
      <c r="I58" s="72"/>
      <c r="J58" s="72"/>
      <c r="K58" s="72"/>
      <c r="L58" s="72"/>
      <c r="M58" s="72"/>
      <c r="N58" s="72"/>
      <c r="O58" s="72"/>
      <c r="P58" s="72"/>
      <c r="Q58" s="350"/>
      <c r="R58" s="72"/>
      <c r="S58" s="72"/>
      <c r="T58" s="72"/>
      <c r="U58" s="343">
        <v>3000</v>
      </c>
      <c r="V58" s="343">
        <f>U58</f>
        <v>3000</v>
      </c>
      <c r="W58" s="343"/>
      <c r="X58" s="73">
        <f t="shared" si="4"/>
        <v>39</v>
      </c>
      <c r="Y58" s="343"/>
      <c r="Z58" s="360"/>
      <c r="AA58" s="37" t="s">
        <v>828</v>
      </c>
      <c r="AB58" s="312">
        <v>38</v>
      </c>
      <c r="AC58" s="313">
        <f t="shared" si="7"/>
        <v>1</v>
      </c>
      <c r="AD58" s="283"/>
      <c r="AE58" s="283"/>
      <c r="AF58" s="37"/>
      <c r="AG58" s="37"/>
      <c r="AH58" s="162"/>
    </row>
    <row r="59" spans="1:38" s="272" customFormat="1" ht="51">
      <c r="A59" s="25">
        <v>4</v>
      </c>
      <c r="B59" s="359" t="s">
        <v>547</v>
      </c>
      <c r="C59" s="75" t="s">
        <v>220</v>
      </c>
      <c r="D59" s="361"/>
      <c r="E59" s="362">
        <f>A59</f>
        <v>4</v>
      </c>
      <c r="F59" s="75"/>
      <c r="G59" s="358" t="s">
        <v>59</v>
      </c>
      <c r="H59" s="363"/>
      <c r="I59" s="363"/>
      <c r="J59" s="70"/>
      <c r="K59" s="363"/>
      <c r="L59" s="363"/>
      <c r="M59" s="288"/>
      <c r="N59" s="288"/>
      <c r="O59" s="288"/>
      <c r="P59" s="288"/>
      <c r="Q59" s="363"/>
      <c r="R59" s="363"/>
      <c r="S59" s="363"/>
      <c r="T59" s="363"/>
      <c r="U59" s="343">
        <v>6000</v>
      </c>
      <c r="V59" s="343">
        <f>U59</f>
        <v>6000</v>
      </c>
      <c r="W59" s="343"/>
      <c r="X59" s="73">
        <f t="shared" si="4"/>
        <v>78</v>
      </c>
      <c r="Y59" s="275"/>
      <c r="Z59" s="275"/>
      <c r="AA59" s="37" t="s">
        <v>826</v>
      </c>
      <c r="AB59" s="312">
        <v>76</v>
      </c>
      <c r="AC59" s="313">
        <f t="shared" si="7"/>
        <v>2</v>
      </c>
      <c r="AD59" s="36"/>
      <c r="AE59" s="36"/>
      <c r="AF59" s="32">
        <v>92.76</v>
      </c>
      <c r="AG59" s="37">
        <f>V59/100*35</f>
        <v>2100</v>
      </c>
      <c r="AH59" s="37"/>
      <c r="AI59" s="37"/>
      <c r="AJ59" s="37"/>
      <c r="AK59" s="24"/>
      <c r="AL59" s="35">
        <f>+X59-AF59</f>
        <v>-14.760000000000005</v>
      </c>
    </row>
    <row r="60" spans="1:38" s="589" customFormat="1" ht="38.25">
      <c r="A60" s="567">
        <v>5</v>
      </c>
      <c r="B60" s="565" t="s">
        <v>568</v>
      </c>
      <c r="C60" s="568"/>
      <c r="D60" s="581"/>
      <c r="E60" s="582"/>
      <c r="F60" s="568"/>
      <c r="G60" s="583"/>
      <c r="H60" s="584"/>
      <c r="I60" s="584"/>
      <c r="J60" s="585"/>
      <c r="K60" s="584"/>
      <c r="L60" s="584"/>
      <c r="M60" s="586"/>
      <c r="N60" s="586"/>
      <c r="O60" s="586"/>
      <c r="P60" s="586"/>
      <c r="Q60" s="584"/>
      <c r="R60" s="584"/>
      <c r="S60" s="584"/>
      <c r="T60" s="584"/>
      <c r="U60" s="566">
        <f>V60</f>
        <v>6978</v>
      </c>
      <c r="V60" s="566">
        <v>6978</v>
      </c>
      <c r="W60" s="566"/>
      <c r="X60" s="73">
        <f t="shared" si="4"/>
        <v>91</v>
      </c>
      <c r="Y60" s="587"/>
      <c r="Z60" s="587"/>
      <c r="AA60" s="558" t="s">
        <v>826</v>
      </c>
      <c r="AB60" s="559">
        <v>88</v>
      </c>
      <c r="AC60" s="560">
        <f t="shared" si="7"/>
        <v>3</v>
      </c>
      <c r="AD60" s="561">
        <f>X60</f>
        <v>91</v>
      </c>
      <c r="AE60" s="561"/>
      <c r="AF60" s="588"/>
      <c r="AG60" s="561"/>
      <c r="AH60" s="558"/>
      <c r="AI60" s="558"/>
      <c r="AJ60" s="558"/>
      <c r="AK60" s="562"/>
      <c r="AL60" s="563"/>
    </row>
    <row r="61" spans="1:38" s="589" customFormat="1" ht="38.25">
      <c r="A61" s="567">
        <v>6</v>
      </c>
      <c r="B61" s="565" t="s">
        <v>848</v>
      </c>
      <c r="C61" s="568"/>
      <c r="D61" s="581"/>
      <c r="E61" s="582"/>
      <c r="F61" s="568"/>
      <c r="G61" s="583"/>
      <c r="H61" s="584"/>
      <c r="I61" s="584"/>
      <c r="J61" s="585"/>
      <c r="K61" s="584"/>
      <c r="L61" s="584"/>
      <c r="M61" s="586"/>
      <c r="N61" s="586"/>
      <c r="O61" s="586"/>
      <c r="P61" s="586"/>
      <c r="Q61" s="584"/>
      <c r="R61" s="584"/>
      <c r="S61" s="584"/>
      <c r="T61" s="584"/>
      <c r="U61" s="566">
        <v>5000</v>
      </c>
      <c r="V61" s="566">
        <f>U61</f>
        <v>5000</v>
      </c>
      <c r="W61" s="566"/>
      <c r="X61" s="73">
        <f t="shared" si="4"/>
        <v>65</v>
      </c>
      <c r="Y61" s="587"/>
      <c r="Z61" s="587"/>
      <c r="AA61" s="558" t="s">
        <v>826</v>
      </c>
      <c r="AB61" s="559">
        <v>63</v>
      </c>
      <c r="AC61" s="560">
        <f t="shared" si="7"/>
        <v>2</v>
      </c>
      <c r="AD61" s="561">
        <f>X61</f>
        <v>65</v>
      </c>
      <c r="AE61" s="561"/>
      <c r="AF61" s="588"/>
      <c r="AG61" s="561"/>
      <c r="AH61" s="558"/>
      <c r="AI61" s="558"/>
      <c r="AJ61" s="558"/>
      <c r="AK61" s="562"/>
      <c r="AL61" s="563"/>
    </row>
    <row r="62" spans="1:38" s="273" customFormat="1" ht="51.75" customHeight="1">
      <c r="A62" s="25">
        <v>7</v>
      </c>
      <c r="B62" s="349" t="s">
        <v>277</v>
      </c>
      <c r="C62" s="54" t="s">
        <v>220</v>
      </c>
      <c r="D62" s="361"/>
      <c r="E62" s="362">
        <f>A62</f>
        <v>7</v>
      </c>
      <c r="F62" s="75" t="s">
        <v>372</v>
      </c>
      <c r="G62" s="361"/>
      <c r="H62" s="343"/>
      <c r="I62" s="343"/>
      <c r="J62" s="70"/>
      <c r="K62" s="70"/>
      <c r="L62" s="70"/>
      <c r="M62" s="70"/>
      <c r="N62" s="70"/>
      <c r="O62" s="70"/>
      <c r="P62" s="70"/>
      <c r="Q62" s="70"/>
      <c r="R62" s="70"/>
      <c r="S62" s="70"/>
      <c r="T62" s="70"/>
      <c r="U62" s="343">
        <v>30000</v>
      </c>
      <c r="V62" s="343">
        <f>U62</f>
        <v>30000</v>
      </c>
      <c r="W62" s="275"/>
      <c r="X62" s="73">
        <f t="shared" si="4"/>
        <v>390</v>
      </c>
      <c r="Y62" s="275"/>
      <c r="Z62" s="275"/>
      <c r="AA62" s="37" t="s">
        <v>826</v>
      </c>
      <c r="AB62" s="312">
        <v>379</v>
      </c>
      <c r="AC62" s="313">
        <f t="shared" si="7"/>
        <v>11</v>
      </c>
      <c r="AD62" s="36"/>
      <c r="AE62" s="36"/>
      <c r="AF62" s="32">
        <v>3500</v>
      </c>
      <c r="AG62" s="33"/>
      <c r="AH62" s="37">
        <v>3500</v>
      </c>
      <c r="AI62" s="37"/>
      <c r="AJ62" s="37"/>
      <c r="AK62" s="24">
        <v>3500</v>
      </c>
      <c r="AL62" s="35">
        <f>+X62-AF62</f>
        <v>-3110</v>
      </c>
    </row>
    <row r="63" spans="1:243" s="39" customFormat="1" ht="31.5" customHeight="1">
      <c r="A63" s="67" t="s">
        <v>47</v>
      </c>
      <c r="B63" s="34" t="s">
        <v>57</v>
      </c>
      <c r="C63" s="6"/>
      <c r="D63" s="67"/>
      <c r="E63" s="67"/>
      <c r="F63" s="67"/>
      <c r="G63" s="67"/>
      <c r="H63" s="69" t="s">
        <v>59</v>
      </c>
      <c r="I63" s="69"/>
      <c r="J63" s="69"/>
      <c r="K63" s="69"/>
      <c r="L63" s="69"/>
      <c r="M63" s="69"/>
      <c r="N63" s="352"/>
      <c r="O63" s="69"/>
      <c r="P63" s="69"/>
      <c r="Q63" s="69"/>
      <c r="R63" s="69"/>
      <c r="S63" s="69"/>
      <c r="T63" s="69"/>
      <c r="U63" s="275"/>
      <c r="V63" s="275"/>
      <c r="W63" s="69"/>
      <c r="X63" s="73">
        <f t="shared" si="4"/>
        <v>0</v>
      </c>
      <c r="Y63" s="69"/>
      <c r="Z63" s="69"/>
      <c r="AA63" s="33"/>
      <c r="AB63" s="312">
        <v>0</v>
      </c>
      <c r="AC63" s="313">
        <f t="shared" si="7"/>
        <v>0</v>
      </c>
      <c r="AD63" s="32"/>
      <c r="AE63" s="32"/>
      <c r="AF63" s="267">
        <v>0</v>
      </c>
      <c r="AG63" s="267">
        <f>SUM(AG66:AG74)</f>
        <v>14875</v>
      </c>
      <c r="AH63" s="33">
        <f>AH203</f>
        <v>7072.2647</v>
      </c>
      <c r="AI63" s="33">
        <f>AG63+AH63</f>
        <v>21947.2647</v>
      </c>
      <c r="AJ63" s="33">
        <f>AA203</f>
        <v>20224.789282031998</v>
      </c>
      <c r="AK63" s="34">
        <f>AI63-AJ63</f>
        <v>1722.4754179680021</v>
      </c>
      <c r="AL63" s="35">
        <f>+X63-AF63</f>
        <v>0</v>
      </c>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c r="GJ63" s="169"/>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c r="HZ63" s="169"/>
      <c r="IA63" s="169"/>
      <c r="IB63" s="169"/>
      <c r="IC63" s="169"/>
      <c r="ID63" s="169"/>
      <c r="IE63" s="169"/>
      <c r="IF63" s="169"/>
      <c r="IG63" s="169"/>
      <c r="IH63" s="169"/>
      <c r="II63" s="169"/>
    </row>
    <row r="64" spans="1:243" s="40" customFormat="1" ht="37.5" customHeight="1">
      <c r="A64" s="298">
        <v>1</v>
      </c>
      <c r="B64" s="364" t="s">
        <v>727</v>
      </c>
      <c r="C64" s="54"/>
      <c r="D64" s="26"/>
      <c r="E64" s="26"/>
      <c r="F64" s="75"/>
      <c r="G64" s="365"/>
      <c r="H64" s="71"/>
      <c r="I64" s="71"/>
      <c r="J64" s="71"/>
      <c r="K64" s="71"/>
      <c r="L64" s="71"/>
      <c r="M64" s="71"/>
      <c r="N64" s="71"/>
      <c r="O64" s="71"/>
      <c r="P64" s="71"/>
      <c r="Q64" s="71"/>
      <c r="R64" s="71"/>
      <c r="S64" s="71"/>
      <c r="T64" s="71"/>
      <c r="U64" s="71">
        <v>4000</v>
      </c>
      <c r="V64" s="71">
        <f>U64</f>
        <v>4000</v>
      </c>
      <c r="W64" s="71"/>
      <c r="X64" s="73">
        <f t="shared" si="4"/>
        <v>52</v>
      </c>
      <c r="Y64" s="71"/>
      <c r="Z64" s="71"/>
      <c r="AA64" s="37" t="s">
        <v>827</v>
      </c>
      <c r="AB64" s="312">
        <v>51</v>
      </c>
      <c r="AC64" s="313">
        <f t="shared" si="7"/>
        <v>1</v>
      </c>
      <c r="AD64" s="36"/>
      <c r="AE64" s="36"/>
      <c r="AF64" s="42"/>
      <c r="AG64" s="13"/>
      <c r="AH64" s="37"/>
      <c r="AI64" s="37"/>
      <c r="AJ64" s="37"/>
      <c r="AK64" s="24"/>
      <c r="AL64" s="35"/>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1"/>
      <c r="IB64" s="31"/>
      <c r="IC64" s="31"/>
      <c r="ID64" s="31"/>
      <c r="IE64" s="31"/>
      <c r="IF64" s="31"/>
      <c r="IG64" s="31"/>
      <c r="IH64" s="31"/>
      <c r="II64" s="31"/>
    </row>
    <row r="65" spans="1:243" s="40" customFormat="1" ht="39" customHeight="1">
      <c r="A65" s="298">
        <v>2</v>
      </c>
      <c r="B65" s="348" t="s">
        <v>179</v>
      </c>
      <c r="C65" s="75" t="s">
        <v>184</v>
      </c>
      <c r="D65" s="26"/>
      <c r="E65" s="26">
        <f>A65</f>
        <v>2</v>
      </c>
      <c r="F65" s="26"/>
      <c r="G65" s="26"/>
      <c r="H65" s="71"/>
      <c r="I65" s="71"/>
      <c r="J65" s="71"/>
      <c r="K65" s="71"/>
      <c r="L65" s="71"/>
      <c r="M65" s="71"/>
      <c r="N65" s="353"/>
      <c r="O65" s="71"/>
      <c r="P65" s="71"/>
      <c r="Q65" s="71"/>
      <c r="R65" s="71"/>
      <c r="S65" s="71"/>
      <c r="T65" s="71"/>
      <c r="U65" s="366">
        <v>3000</v>
      </c>
      <c r="V65" s="366">
        <v>3000</v>
      </c>
      <c r="W65" s="301"/>
      <c r="X65" s="73">
        <f t="shared" si="4"/>
        <v>39</v>
      </c>
      <c r="Y65" s="71"/>
      <c r="Z65" s="71"/>
      <c r="AA65" s="37" t="s">
        <v>828</v>
      </c>
      <c r="AB65" s="312">
        <v>38</v>
      </c>
      <c r="AC65" s="313">
        <f t="shared" si="7"/>
        <v>1</v>
      </c>
      <c r="AD65" s="36"/>
      <c r="AE65" s="36"/>
      <c r="AF65" s="36">
        <v>1343</v>
      </c>
      <c r="AG65" s="37">
        <f>V65/100*35</f>
        <v>1050</v>
      </c>
      <c r="AH65" s="37"/>
      <c r="AI65" s="37"/>
      <c r="AJ65" s="37"/>
      <c r="AK65" s="24"/>
      <c r="AL65" s="35">
        <f>+X65-AF65</f>
        <v>-1304</v>
      </c>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row>
    <row r="66" spans="1:243" s="40" customFormat="1" ht="39" customHeight="1">
      <c r="A66" s="298">
        <v>3</v>
      </c>
      <c r="B66" s="359" t="s">
        <v>185</v>
      </c>
      <c r="C66" s="54" t="s">
        <v>184</v>
      </c>
      <c r="D66" s="26"/>
      <c r="E66" s="26"/>
      <c r="F66" s="75"/>
      <c r="G66" s="365"/>
      <c r="H66" s="71"/>
      <c r="I66" s="71"/>
      <c r="J66" s="71"/>
      <c r="K66" s="71"/>
      <c r="L66" s="71"/>
      <c r="M66" s="71"/>
      <c r="N66" s="71"/>
      <c r="O66" s="71"/>
      <c r="P66" s="71"/>
      <c r="Q66" s="71"/>
      <c r="R66" s="71"/>
      <c r="S66" s="71"/>
      <c r="T66" s="71"/>
      <c r="U66" s="71">
        <v>13000</v>
      </c>
      <c r="V66" s="71">
        <f>U66</f>
        <v>13000</v>
      </c>
      <c r="W66" s="71"/>
      <c r="X66" s="73">
        <f t="shared" si="4"/>
        <v>169</v>
      </c>
      <c r="Y66" s="71"/>
      <c r="Z66" s="71"/>
      <c r="AA66" s="37" t="s">
        <v>827</v>
      </c>
      <c r="AB66" s="312">
        <v>164</v>
      </c>
      <c r="AC66" s="313">
        <f t="shared" si="7"/>
        <v>5</v>
      </c>
      <c r="AD66" s="36"/>
      <c r="AE66" s="36"/>
      <c r="AF66" s="36">
        <v>200.98000000000002</v>
      </c>
      <c r="AG66" s="37">
        <f>V66/100*35</f>
        <v>4550</v>
      </c>
      <c r="AH66" s="37"/>
      <c r="AI66" s="37"/>
      <c r="AJ66" s="37"/>
      <c r="AK66" s="24">
        <f>W66-Y66</f>
        <v>0</v>
      </c>
      <c r="AL66" s="35">
        <f>+X66-AF66</f>
        <v>-31.980000000000018</v>
      </c>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1"/>
      <c r="IB66" s="31"/>
      <c r="IC66" s="31"/>
      <c r="ID66" s="31"/>
      <c r="IE66" s="31"/>
      <c r="IF66" s="31"/>
      <c r="IG66" s="31"/>
      <c r="IH66" s="31"/>
      <c r="II66" s="31"/>
    </row>
    <row r="67" spans="1:243" s="40" customFormat="1" ht="40.5" customHeight="1">
      <c r="A67" s="298">
        <v>4</v>
      </c>
      <c r="B67" s="349" t="s">
        <v>912</v>
      </c>
      <c r="C67" s="54"/>
      <c r="D67" s="26"/>
      <c r="E67" s="26"/>
      <c r="F67" s="75"/>
      <c r="G67" s="365"/>
      <c r="H67" s="71"/>
      <c r="I67" s="71"/>
      <c r="J67" s="71"/>
      <c r="K67" s="71"/>
      <c r="L67" s="71"/>
      <c r="M67" s="71"/>
      <c r="N67" s="71"/>
      <c r="O67" s="71"/>
      <c r="P67" s="71"/>
      <c r="Q67" s="71"/>
      <c r="R67" s="71"/>
      <c r="S67" s="71"/>
      <c r="T67" s="71"/>
      <c r="U67" s="343">
        <v>7500</v>
      </c>
      <c r="V67" s="343">
        <v>7500</v>
      </c>
      <c r="W67" s="71"/>
      <c r="X67" s="73">
        <f t="shared" si="4"/>
        <v>98</v>
      </c>
      <c r="Y67" s="71"/>
      <c r="Z67" s="71"/>
      <c r="AA67" s="37" t="s">
        <v>827</v>
      </c>
      <c r="AB67" s="312">
        <v>95</v>
      </c>
      <c r="AC67" s="313">
        <f t="shared" si="7"/>
        <v>3</v>
      </c>
      <c r="AD67" s="36"/>
      <c r="AE67" s="36"/>
      <c r="AF67" s="36"/>
      <c r="AG67" s="37"/>
      <c r="AH67" s="37"/>
      <c r="AI67" s="37"/>
      <c r="AJ67" s="37"/>
      <c r="AK67" s="24"/>
      <c r="AL67" s="35"/>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1"/>
      <c r="IB67" s="31"/>
      <c r="IC67" s="31"/>
      <c r="ID67" s="31"/>
      <c r="IE67" s="31"/>
      <c r="IF67" s="31"/>
      <c r="IG67" s="31"/>
      <c r="IH67" s="31"/>
      <c r="II67" s="31"/>
    </row>
    <row r="68" spans="1:243" s="40" customFormat="1" ht="35.25" customHeight="1">
      <c r="A68" s="298">
        <v>5</v>
      </c>
      <c r="B68" s="349" t="s">
        <v>642</v>
      </c>
      <c r="C68" s="54"/>
      <c r="D68" s="26"/>
      <c r="E68" s="26"/>
      <c r="F68" s="75"/>
      <c r="G68" s="365"/>
      <c r="H68" s="71"/>
      <c r="I68" s="71"/>
      <c r="J68" s="71"/>
      <c r="K68" s="71"/>
      <c r="L68" s="71"/>
      <c r="M68" s="71"/>
      <c r="N68" s="71"/>
      <c r="O68" s="71"/>
      <c r="P68" s="71"/>
      <c r="Q68" s="71"/>
      <c r="R68" s="71"/>
      <c r="S68" s="71"/>
      <c r="T68" s="71"/>
      <c r="U68" s="71">
        <v>2700</v>
      </c>
      <c r="V68" s="71">
        <f>U68</f>
        <v>2700</v>
      </c>
      <c r="W68" s="71"/>
      <c r="X68" s="73">
        <f t="shared" si="4"/>
        <v>35</v>
      </c>
      <c r="Y68" s="71"/>
      <c r="Z68" s="71"/>
      <c r="AA68" s="37" t="s">
        <v>827</v>
      </c>
      <c r="AB68" s="312">
        <v>34</v>
      </c>
      <c r="AC68" s="313">
        <f t="shared" si="7"/>
        <v>1</v>
      </c>
      <c r="AD68" s="36"/>
      <c r="AE68" s="36"/>
      <c r="AF68" s="36"/>
      <c r="AG68" s="37"/>
      <c r="AH68" s="37"/>
      <c r="AI68" s="37"/>
      <c r="AJ68" s="37"/>
      <c r="AK68" s="24"/>
      <c r="AL68" s="35"/>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1"/>
      <c r="IB68" s="31"/>
      <c r="IC68" s="31"/>
      <c r="ID68" s="31"/>
      <c r="IE68" s="31"/>
      <c r="IF68" s="31"/>
      <c r="IG68" s="31"/>
      <c r="IH68" s="31"/>
      <c r="II68" s="31"/>
    </row>
    <row r="69" spans="1:243" s="40" customFormat="1" ht="53.25" customHeight="1">
      <c r="A69" s="298">
        <v>6</v>
      </c>
      <c r="B69" s="359" t="s">
        <v>989</v>
      </c>
      <c r="C69" s="75" t="s">
        <v>184</v>
      </c>
      <c r="D69" s="26"/>
      <c r="E69" s="26"/>
      <c r="F69" s="75"/>
      <c r="G69" s="365" t="s">
        <v>59</v>
      </c>
      <c r="H69" s="71"/>
      <c r="I69" s="71"/>
      <c r="J69" s="71"/>
      <c r="K69" s="71"/>
      <c r="L69" s="71"/>
      <c r="M69" s="71"/>
      <c r="N69" s="71"/>
      <c r="O69" s="71"/>
      <c r="P69" s="71"/>
      <c r="Q69" s="71"/>
      <c r="R69" s="71"/>
      <c r="S69" s="71"/>
      <c r="T69" s="71"/>
      <c r="U69" s="71">
        <v>3500</v>
      </c>
      <c r="V69" s="71">
        <f>U69</f>
        <v>3500</v>
      </c>
      <c r="W69" s="71"/>
      <c r="X69" s="73">
        <f t="shared" si="4"/>
        <v>46</v>
      </c>
      <c r="Y69" s="71"/>
      <c r="Z69" s="71"/>
      <c r="AA69" s="37" t="s">
        <v>827</v>
      </c>
      <c r="AB69" s="312">
        <v>44</v>
      </c>
      <c r="AC69" s="313">
        <f t="shared" si="7"/>
        <v>2</v>
      </c>
      <c r="AD69" s="36"/>
      <c r="AE69" s="36"/>
      <c r="AF69" s="36">
        <v>53.29062</v>
      </c>
      <c r="AG69" s="37">
        <f>V69/100*35</f>
        <v>1225</v>
      </c>
      <c r="AH69" s="37"/>
      <c r="AI69" s="37"/>
      <c r="AJ69" s="37"/>
      <c r="AK69" s="24"/>
      <c r="AL69" s="35">
        <f>+X69-AF69</f>
        <v>-7.290619999999997</v>
      </c>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1"/>
      <c r="IB69" s="31"/>
      <c r="IC69" s="31"/>
      <c r="ID69" s="31"/>
      <c r="IE69" s="31"/>
      <c r="IF69" s="31"/>
      <c r="IG69" s="31"/>
      <c r="IH69" s="31"/>
      <c r="II69" s="31"/>
    </row>
    <row r="70" spans="1:243" s="572" customFormat="1" ht="25.5">
      <c r="A70" s="590">
        <v>7</v>
      </c>
      <c r="B70" s="591" t="s">
        <v>187</v>
      </c>
      <c r="C70" s="568" t="s">
        <v>184</v>
      </c>
      <c r="D70" s="553"/>
      <c r="E70" s="553"/>
      <c r="F70" s="553"/>
      <c r="G70" s="553"/>
      <c r="H70" s="555" t="s">
        <v>59</v>
      </c>
      <c r="I70" s="555"/>
      <c r="J70" s="555"/>
      <c r="K70" s="555"/>
      <c r="L70" s="555"/>
      <c r="M70" s="555"/>
      <c r="N70" s="569"/>
      <c r="O70" s="555"/>
      <c r="P70" s="555"/>
      <c r="Q70" s="555"/>
      <c r="R70" s="555"/>
      <c r="S70" s="555"/>
      <c r="T70" s="555"/>
      <c r="U70" s="592">
        <v>8000</v>
      </c>
      <c r="V70" s="592">
        <f>U70</f>
        <v>8000</v>
      </c>
      <c r="W70" s="593"/>
      <c r="X70" s="73">
        <f t="shared" si="4"/>
        <v>104</v>
      </c>
      <c r="Y70" s="555"/>
      <c r="Z70" s="555"/>
      <c r="AA70" s="558" t="s">
        <v>827</v>
      </c>
      <c r="AB70" s="559">
        <v>101</v>
      </c>
      <c r="AC70" s="560">
        <f t="shared" si="7"/>
        <v>3</v>
      </c>
      <c r="AD70" s="561">
        <f>X70</f>
        <v>104</v>
      </c>
      <c r="AE70" s="561"/>
      <c r="AF70" s="561">
        <v>123.68</v>
      </c>
      <c r="AG70" s="558">
        <f>V70/100*35</f>
        <v>2800</v>
      </c>
      <c r="AH70" s="558"/>
      <c r="AI70" s="558"/>
      <c r="AJ70" s="558"/>
      <c r="AK70" s="562"/>
      <c r="AL70" s="563">
        <f>+X70-AF70</f>
        <v>-19.680000000000007</v>
      </c>
      <c r="AM70" s="571"/>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c r="CY70" s="571"/>
      <c r="CZ70" s="571"/>
      <c r="DA70" s="571"/>
      <c r="DB70" s="571"/>
      <c r="DC70" s="571"/>
      <c r="DD70" s="571"/>
      <c r="DE70" s="571"/>
      <c r="DF70" s="571"/>
      <c r="DG70" s="571"/>
      <c r="DH70" s="571"/>
      <c r="DI70" s="571"/>
      <c r="DJ70" s="571"/>
      <c r="DK70" s="571"/>
      <c r="DL70" s="571"/>
      <c r="DM70" s="571"/>
      <c r="DN70" s="571"/>
      <c r="DO70" s="571"/>
      <c r="DP70" s="571"/>
      <c r="DQ70" s="571"/>
      <c r="DR70" s="571"/>
      <c r="DS70" s="571"/>
      <c r="DT70" s="571"/>
      <c r="DU70" s="571"/>
      <c r="DV70" s="571"/>
      <c r="DW70" s="571"/>
      <c r="DX70" s="571"/>
      <c r="DY70" s="571"/>
      <c r="DZ70" s="571"/>
      <c r="EA70" s="571"/>
      <c r="EB70" s="571"/>
      <c r="EC70" s="571"/>
      <c r="ED70" s="571"/>
      <c r="EE70" s="571"/>
      <c r="EF70" s="571"/>
      <c r="EG70" s="571"/>
      <c r="EH70" s="571"/>
      <c r="EI70" s="571"/>
      <c r="EJ70" s="571"/>
      <c r="EK70" s="571"/>
      <c r="EL70" s="571"/>
      <c r="EM70" s="571"/>
      <c r="EN70" s="571"/>
      <c r="EO70" s="571"/>
      <c r="EP70" s="571"/>
      <c r="EQ70" s="571"/>
      <c r="ER70" s="571"/>
      <c r="ES70" s="571"/>
      <c r="ET70" s="571"/>
      <c r="EU70" s="571"/>
      <c r="EV70" s="571"/>
      <c r="EW70" s="571"/>
      <c r="EX70" s="571"/>
      <c r="EY70" s="571"/>
      <c r="EZ70" s="571"/>
      <c r="FA70" s="571"/>
      <c r="FB70" s="571"/>
      <c r="FC70" s="571"/>
      <c r="FD70" s="571"/>
      <c r="FE70" s="571"/>
      <c r="FF70" s="571"/>
      <c r="FG70" s="571"/>
      <c r="FH70" s="571"/>
      <c r="FI70" s="571"/>
      <c r="FJ70" s="571"/>
      <c r="FK70" s="571"/>
      <c r="FL70" s="571"/>
      <c r="FM70" s="571"/>
      <c r="FN70" s="571"/>
      <c r="FO70" s="571"/>
      <c r="FP70" s="571"/>
      <c r="FQ70" s="571"/>
      <c r="FR70" s="571"/>
      <c r="FS70" s="571"/>
      <c r="FT70" s="571"/>
      <c r="FU70" s="571"/>
      <c r="FV70" s="571"/>
      <c r="FW70" s="571"/>
      <c r="FX70" s="571"/>
      <c r="FY70" s="571"/>
      <c r="FZ70" s="571"/>
      <c r="GA70" s="571"/>
      <c r="GB70" s="571"/>
      <c r="GC70" s="571"/>
      <c r="GD70" s="571"/>
      <c r="GE70" s="571"/>
      <c r="GF70" s="571"/>
      <c r="GG70" s="571"/>
      <c r="GH70" s="571"/>
      <c r="GI70" s="571"/>
      <c r="GJ70" s="571"/>
      <c r="GK70" s="571"/>
      <c r="GL70" s="571"/>
      <c r="GM70" s="571"/>
      <c r="GN70" s="571"/>
      <c r="GO70" s="571"/>
      <c r="GP70" s="571"/>
      <c r="GQ70" s="571"/>
      <c r="GR70" s="571"/>
      <c r="GS70" s="571"/>
      <c r="GT70" s="571"/>
      <c r="GU70" s="571"/>
      <c r="GV70" s="571"/>
      <c r="GW70" s="571"/>
      <c r="GX70" s="571"/>
      <c r="GY70" s="571"/>
      <c r="GZ70" s="571"/>
      <c r="HA70" s="571"/>
      <c r="HB70" s="571"/>
      <c r="HC70" s="571"/>
      <c r="HD70" s="571"/>
      <c r="HE70" s="571"/>
      <c r="HF70" s="571"/>
      <c r="HG70" s="571"/>
      <c r="HH70" s="571"/>
      <c r="HI70" s="571"/>
      <c r="HJ70" s="571"/>
      <c r="HK70" s="571"/>
      <c r="HL70" s="571"/>
      <c r="HM70" s="571"/>
      <c r="HN70" s="571"/>
      <c r="HO70" s="571"/>
      <c r="HP70" s="571"/>
      <c r="HQ70" s="571"/>
      <c r="HR70" s="571"/>
      <c r="HS70" s="571"/>
      <c r="HT70" s="571"/>
      <c r="HU70" s="571"/>
      <c r="HV70" s="571"/>
      <c r="HW70" s="571"/>
      <c r="HX70" s="571"/>
      <c r="HY70" s="571"/>
      <c r="HZ70" s="571"/>
      <c r="IA70" s="571"/>
      <c r="IB70" s="571"/>
      <c r="IC70" s="571"/>
      <c r="ID70" s="571"/>
      <c r="IE70" s="571"/>
      <c r="IF70" s="571"/>
      <c r="IG70" s="571"/>
      <c r="IH70" s="571"/>
      <c r="II70" s="571"/>
    </row>
    <row r="71" spans="1:243" s="572" customFormat="1" ht="25.5">
      <c r="A71" s="590">
        <v>8</v>
      </c>
      <c r="B71" s="591" t="s">
        <v>489</v>
      </c>
      <c r="C71" s="568" t="s">
        <v>184</v>
      </c>
      <c r="D71" s="553"/>
      <c r="E71" s="553"/>
      <c r="F71" s="553"/>
      <c r="G71" s="553"/>
      <c r="H71" s="555"/>
      <c r="I71" s="555"/>
      <c r="J71" s="555"/>
      <c r="K71" s="555"/>
      <c r="L71" s="555"/>
      <c r="M71" s="555"/>
      <c r="N71" s="569"/>
      <c r="O71" s="555"/>
      <c r="P71" s="555"/>
      <c r="Q71" s="555"/>
      <c r="R71" s="555"/>
      <c r="S71" s="555"/>
      <c r="T71" s="555"/>
      <c r="U71" s="592">
        <v>5000</v>
      </c>
      <c r="V71" s="592">
        <v>5000</v>
      </c>
      <c r="W71" s="593"/>
      <c r="X71" s="73">
        <f t="shared" si="4"/>
        <v>65</v>
      </c>
      <c r="Y71" s="555"/>
      <c r="Z71" s="555"/>
      <c r="AA71" s="558" t="s">
        <v>827</v>
      </c>
      <c r="AB71" s="559">
        <v>63</v>
      </c>
      <c r="AC71" s="560">
        <f t="shared" si="7"/>
        <v>2</v>
      </c>
      <c r="AD71" s="561">
        <f>X71</f>
        <v>65</v>
      </c>
      <c r="AE71" s="561"/>
      <c r="AF71" s="561">
        <v>77.3</v>
      </c>
      <c r="AG71" s="558">
        <f>V71/100*35</f>
        <v>1750</v>
      </c>
      <c r="AH71" s="558"/>
      <c r="AI71" s="558"/>
      <c r="AJ71" s="558"/>
      <c r="AK71" s="562"/>
      <c r="AL71" s="563">
        <f>+X71-AF71</f>
        <v>-12.299999999999997</v>
      </c>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71"/>
      <c r="BQ71" s="571"/>
      <c r="BR71" s="571"/>
      <c r="BS71" s="571"/>
      <c r="BT71" s="571"/>
      <c r="BU71" s="571"/>
      <c r="BV71" s="571"/>
      <c r="BW71" s="571"/>
      <c r="BX71" s="571"/>
      <c r="BY71" s="571"/>
      <c r="BZ71" s="571"/>
      <c r="CA71" s="571"/>
      <c r="CB71" s="571"/>
      <c r="CC71" s="571"/>
      <c r="CD71" s="571"/>
      <c r="CE71" s="571"/>
      <c r="CF71" s="571"/>
      <c r="CG71" s="571"/>
      <c r="CH71" s="571"/>
      <c r="CI71" s="571"/>
      <c r="CJ71" s="571"/>
      <c r="CK71" s="571"/>
      <c r="CL71" s="571"/>
      <c r="CM71" s="571"/>
      <c r="CN71" s="571"/>
      <c r="CO71" s="571"/>
      <c r="CP71" s="571"/>
      <c r="CQ71" s="571"/>
      <c r="CR71" s="571"/>
      <c r="CS71" s="571"/>
      <c r="CT71" s="571"/>
      <c r="CU71" s="571"/>
      <c r="CV71" s="571"/>
      <c r="CW71" s="571"/>
      <c r="CX71" s="571"/>
      <c r="CY71" s="571"/>
      <c r="CZ71" s="571"/>
      <c r="DA71" s="571"/>
      <c r="DB71" s="571"/>
      <c r="DC71" s="571"/>
      <c r="DD71" s="571"/>
      <c r="DE71" s="571"/>
      <c r="DF71" s="571"/>
      <c r="DG71" s="571"/>
      <c r="DH71" s="571"/>
      <c r="DI71" s="571"/>
      <c r="DJ71" s="571"/>
      <c r="DK71" s="571"/>
      <c r="DL71" s="571"/>
      <c r="DM71" s="571"/>
      <c r="DN71" s="571"/>
      <c r="DO71" s="571"/>
      <c r="DP71" s="571"/>
      <c r="DQ71" s="571"/>
      <c r="DR71" s="571"/>
      <c r="DS71" s="571"/>
      <c r="DT71" s="571"/>
      <c r="DU71" s="571"/>
      <c r="DV71" s="571"/>
      <c r="DW71" s="571"/>
      <c r="DX71" s="571"/>
      <c r="DY71" s="571"/>
      <c r="DZ71" s="571"/>
      <c r="EA71" s="571"/>
      <c r="EB71" s="571"/>
      <c r="EC71" s="571"/>
      <c r="ED71" s="571"/>
      <c r="EE71" s="571"/>
      <c r="EF71" s="571"/>
      <c r="EG71" s="571"/>
      <c r="EH71" s="571"/>
      <c r="EI71" s="571"/>
      <c r="EJ71" s="571"/>
      <c r="EK71" s="571"/>
      <c r="EL71" s="571"/>
      <c r="EM71" s="571"/>
      <c r="EN71" s="571"/>
      <c r="EO71" s="571"/>
      <c r="EP71" s="571"/>
      <c r="EQ71" s="571"/>
      <c r="ER71" s="571"/>
      <c r="ES71" s="571"/>
      <c r="ET71" s="571"/>
      <c r="EU71" s="571"/>
      <c r="EV71" s="571"/>
      <c r="EW71" s="571"/>
      <c r="EX71" s="571"/>
      <c r="EY71" s="571"/>
      <c r="EZ71" s="571"/>
      <c r="FA71" s="571"/>
      <c r="FB71" s="571"/>
      <c r="FC71" s="571"/>
      <c r="FD71" s="571"/>
      <c r="FE71" s="571"/>
      <c r="FF71" s="571"/>
      <c r="FG71" s="571"/>
      <c r="FH71" s="571"/>
      <c r="FI71" s="571"/>
      <c r="FJ71" s="571"/>
      <c r="FK71" s="571"/>
      <c r="FL71" s="571"/>
      <c r="FM71" s="571"/>
      <c r="FN71" s="571"/>
      <c r="FO71" s="571"/>
      <c r="FP71" s="571"/>
      <c r="FQ71" s="571"/>
      <c r="FR71" s="571"/>
      <c r="FS71" s="571"/>
      <c r="FT71" s="571"/>
      <c r="FU71" s="571"/>
      <c r="FV71" s="571"/>
      <c r="FW71" s="571"/>
      <c r="FX71" s="571"/>
      <c r="FY71" s="571"/>
      <c r="FZ71" s="571"/>
      <c r="GA71" s="571"/>
      <c r="GB71" s="571"/>
      <c r="GC71" s="571"/>
      <c r="GD71" s="571"/>
      <c r="GE71" s="571"/>
      <c r="GF71" s="571"/>
      <c r="GG71" s="571"/>
      <c r="GH71" s="571"/>
      <c r="GI71" s="571"/>
      <c r="GJ71" s="571"/>
      <c r="GK71" s="571"/>
      <c r="GL71" s="571"/>
      <c r="GM71" s="571"/>
      <c r="GN71" s="571"/>
      <c r="GO71" s="571"/>
      <c r="GP71" s="571"/>
      <c r="GQ71" s="571"/>
      <c r="GR71" s="571"/>
      <c r="GS71" s="571"/>
      <c r="GT71" s="571"/>
      <c r="GU71" s="571"/>
      <c r="GV71" s="571"/>
      <c r="GW71" s="571"/>
      <c r="GX71" s="571"/>
      <c r="GY71" s="571"/>
      <c r="GZ71" s="571"/>
      <c r="HA71" s="571"/>
      <c r="HB71" s="571"/>
      <c r="HC71" s="571"/>
      <c r="HD71" s="571"/>
      <c r="HE71" s="571"/>
      <c r="HF71" s="571"/>
      <c r="HG71" s="571"/>
      <c r="HH71" s="571"/>
      <c r="HI71" s="571"/>
      <c r="HJ71" s="571"/>
      <c r="HK71" s="571"/>
      <c r="HL71" s="571"/>
      <c r="HM71" s="571"/>
      <c r="HN71" s="571"/>
      <c r="HO71" s="571"/>
      <c r="HP71" s="571"/>
      <c r="HQ71" s="571"/>
      <c r="HR71" s="571"/>
      <c r="HS71" s="571"/>
      <c r="HT71" s="571"/>
      <c r="HU71" s="571"/>
      <c r="HV71" s="571"/>
      <c r="HW71" s="571"/>
      <c r="HX71" s="571"/>
      <c r="HY71" s="571"/>
      <c r="HZ71" s="571"/>
      <c r="IA71" s="571"/>
      <c r="IB71" s="571"/>
      <c r="IC71" s="571"/>
      <c r="ID71" s="571"/>
      <c r="IE71" s="571"/>
      <c r="IF71" s="571"/>
      <c r="IG71" s="571"/>
      <c r="IH71" s="571"/>
      <c r="II71" s="571"/>
    </row>
    <row r="72" spans="1:243" s="572" customFormat="1" ht="25.5">
      <c r="A72" s="590">
        <v>9</v>
      </c>
      <c r="B72" s="580" t="s">
        <v>572</v>
      </c>
      <c r="C72" s="568"/>
      <c r="D72" s="553"/>
      <c r="E72" s="553"/>
      <c r="F72" s="553"/>
      <c r="G72" s="553"/>
      <c r="H72" s="555"/>
      <c r="I72" s="555"/>
      <c r="J72" s="555"/>
      <c r="K72" s="555"/>
      <c r="L72" s="555"/>
      <c r="M72" s="555"/>
      <c r="N72" s="569"/>
      <c r="O72" s="555"/>
      <c r="P72" s="555"/>
      <c r="Q72" s="555"/>
      <c r="R72" s="555"/>
      <c r="S72" s="555"/>
      <c r="T72" s="555"/>
      <c r="U72" s="592">
        <v>7000</v>
      </c>
      <c r="V72" s="592">
        <f>U72</f>
        <v>7000</v>
      </c>
      <c r="W72" s="593"/>
      <c r="X72" s="73">
        <f t="shared" si="4"/>
        <v>91</v>
      </c>
      <c r="Y72" s="555"/>
      <c r="Z72" s="555"/>
      <c r="AA72" s="558" t="s">
        <v>827</v>
      </c>
      <c r="AB72" s="559">
        <v>89</v>
      </c>
      <c r="AC72" s="560">
        <f t="shared" si="7"/>
        <v>2</v>
      </c>
      <c r="AD72" s="561">
        <f>X72</f>
        <v>91</v>
      </c>
      <c r="AE72" s="561"/>
      <c r="AF72" s="561"/>
      <c r="AG72" s="558"/>
      <c r="AH72" s="558"/>
      <c r="AI72" s="558"/>
      <c r="AJ72" s="558"/>
      <c r="AK72" s="562"/>
      <c r="AL72" s="563"/>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c r="CA72" s="571"/>
      <c r="CB72" s="571"/>
      <c r="CC72" s="571"/>
      <c r="CD72" s="571"/>
      <c r="CE72" s="571"/>
      <c r="CF72" s="571"/>
      <c r="CG72" s="571"/>
      <c r="CH72" s="571"/>
      <c r="CI72" s="571"/>
      <c r="CJ72" s="571"/>
      <c r="CK72" s="571"/>
      <c r="CL72" s="571"/>
      <c r="CM72" s="571"/>
      <c r="CN72" s="571"/>
      <c r="CO72" s="571"/>
      <c r="CP72" s="571"/>
      <c r="CQ72" s="571"/>
      <c r="CR72" s="571"/>
      <c r="CS72" s="571"/>
      <c r="CT72" s="571"/>
      <c r="CU72" s="571"/>
      <c r="CV72" s="571"/>
      <c r="CW72" s="571"/>
      <c r="CX72" s="571"/>
      <c r="CY72" s="571"/>
      <c r="CZ72" s="571"/>
      <c r="DA72" s="571"/>
      <c r="DB72" s="571"/>
      <c r="DC72" s="571"/>
      <c r="DD72" s="571"/>
      <c r="DE72" s="571"/>
      <c r="DF72" s="571"/>
      <c r="DG72" s="571"/>
      <c r="DH72" s="571"/>
      <c r="DI72" s="571"/>
      <c r="DJ72" s="571"/>
      <c r="DK72" s="571"/>
      <c r="DL72" s="571"/>
      <c r="DM72" s="571"/>
      <c r="DN72" s="571"/>
      <c r="DO72" s="571"/>
      <c r="DP72" s="571"/>
      <c r="DQ72" s="571"/>
      <c r="DR72" s="571"/>
      <c r="DS72" s="571"/>
      <c r="DT72" s="571"/>
      <c r="DU72" s="571"/>
      <c r="DV72" s="571"/>
      <c r="DW72" s="571"/>
      <c r="DX72" s="571"/>
      <c r="DY72" s="571"/>
      <c r="DZ72" s="571"/>
      <c r="EA72" s="571"/>
      <c r="EB72" s="571"/>
      <c r="EC72" s="571"/>
      <c r="ED72" s="571"/>
      <c r="EE72" s="571"/>
      <c r="EF72" s="571"/>
      <c r="EG72" s="571"/>
      <c r="EH72" s="571"/>
      <c r="EI72" s="571"/>
      <c r="EJ72" s="571"/>
      <c r="EK72" s="571"/>
      <c r="EL72" s="571"/>
      <c r="EM72" s="571"/>
      <c r="EN72" s="571"/>
      <c r="EO72" s="571"/>
      <c r="EP72" s="571"/>
      <c r="EQ72" s="571"/>
      <c r="ER72" s="571"/>
      <c r="ES72" s="571"/>
      <c r="ET72" s="571"/>
      <c r="EU72" s="571"/>
      <c r="EV72" s="571"/>
      <c r="EW72" s="571"/>
      <c r="EX72" s="571"/>
      <c r="EY72" s="571"/>
      <c r="EZ72" s="571"/>
      <c r="FA72" s="571"/>
      <c r="FB72" s="571"/>
      <c r="FC72" s="571"/>
      <c r="FD72" s="571"/>
      <c r="FE72" s="571"/>
      <c r="FF72" s="571"/>
      <c r="FG72" s="571"/>
      <c r="FH72" s="571"/>
      <c r="FI72" s="571"/>
      <c r="FJ72" s="571"/>
      <c r="FK72" s="571"/>
      <c r="FL72" s="571"/>
      <c r="FM72" s="571"/>
      <c r="FN72" s="571"/>
      <c r="FO72" s="571"/>
      <c r="FP72" s="571"/>
      <c r="FQ72" s="571"/>
      <c r="FR72" s="571"/>
      <c r="FS72" s="571"/>
      <c r="FT72" s="571"/>
      <c r="FU72" s="571"/>
      <c r="FV72" s="571"/>
      <c r="FW72" s="571"/>
      <c r="FX72" s="571"/>
      <c r="FY72" s="571"/>
      <c r="FZ72" s="571"/>
      <c r="GA72" s="571"/>
      <c r="GB72" s="571"/>
      <c r="GC72" s="571"/>
      <c r="GD72" s="571"/>
      <c r="GE72" s="571"/>
      <c r="GF72" s="571"/>
      <c r="GG72" s="571"/>
      <c r="GH72" s="571"/>
      <c r="GI72" s="571"/>
      <c r="GJ72" s="571"/>
      <c r="GK72" s="571"/>
      <c r="GL72" s="571"/>
      <c r="GM72" s="571"/>
      <c r="GN72" s="571"/>
      <c r="GO72" s="571"/>
      <c r="GP72" s="571"/>
      <c r="GQ72" s="571"/>
      <c r="GR72" s="571"/>
      <c r="GS72" s="571"/>
      <c r="GT72" s="571"/>
      <c r="GU72" s="571"/>
      <c r="GV72" s="571"/>
      <c r="GW72" s="571"/>
      <c r="GX72" s="571"/>
      <c r="GY72" s="571"/>
      <c r="GZ72" s="571"/>
      <c r="HA72" s="571"/>
      <c r="HB72" s="571"/>
      <c r="HC72" s="571"/>
      <c r="HD72" s="571"/>
      <c r="HE72" s="571"/>
      <c r="HF72" s="571"/>
      <c r="HG72" s="571"/>
      <c r="HH72" s="571"/>
      <c r="HI72" s="571"/>
      <c r="HJ72" s="571"/>
      <c r="HK72" s="571"/>
      <c r="HL72" s="571"/>
      <c r="HM72" s="571"/>
      <c r="HN72" s="571"/>
      <c r="HO72" s="571"/>
      <c r="HP72" s="571"/>
      <c r="HQ72" s="571"/>
      <c r="HR72" s="571"/>
      <c r="HS72" s="571"/>
      <c r="HT72" s="571"/>
      <c r="HU72" s="571"/>
      <c r="HV72" s="571"/>
      <c r="HW72" s="571"/>
      <c r="HX72" s="571"/>
      <c r="HY72" s="571"/>
      <c r="HZ72" s="571"/>
      <c r="IA72" s="571"/>
      <c r="IB72" s="571"/>
      <c r="IC72" s="571"/>
      <c r="ID72" s="571"/>
      <c r="IE72" s="571"/>
      <c r="IF72" s="571"/>
      <c r="IG72" s="571"/>
      <c r="IH72" s="571"/>
      <c r="II72" s="571"/>
    </row>
    <row r="73" spans="1:243" s="40" customFormat="1" ht="44.25" customHeight="1">
      <c r="A73" s="298">
        <v>10</v>
      </c>
      <c r="B73" s="364" t="s">
        <v>571</v>
      </c>
      <c r="C73" s="75" t="s">
        <v>184</v>
      </c>
      <c r="D73" s="26"/>
      <c r="E73" s="26"/>
      <c r="F73" s="26"/>
      <c r="G73" s="26"/>
      <c r="H73" s="71"/>
      <c r="I73" s="71"/>
      <c r="J73" s="71"/>
      <c r="K73" s="71"/>
      <c r="L73" s="71"/>
      <c r="M73" s="71"/>
      <c r="N73" s="353"/>
      <c r="O73" s="71"/>
      <c r="P73" s="71"/>
      <c r="Q73" s="71"/>
      <c r="R73" s="71"/>
      <c r="S73" s="71"/>
      <c r="T73" s="71"/>
      <c r="U73" s="366">
        <v>8000</v>
      </c>
      <c r="V73" s="366">
        <f>U73</f>
        <v>8000</v>
      </c>
      <c r="W73" s="301"/>
      <c r="X73" s="73">
        <f t="shared" si="4"/>
        <v>104</v>
      </c>
      <c r="Y73" s="71"/>
      <c r="Z73" s="71"/>
      <c r="AA73" s="37" t="s">
        <v>829</v>
      </c>
      <c r="AB73" s="312">
        <v>101</v>
      </c>
      <c r="AC73" s="313">
        <f t="shared" si="7"/>
        <v>3</v>
      </c>
      <c r="AD73" s="36"/>
      <c r="AE73" s="36"/>
      <c r="AF73" s="36">
        <v>77.3</v>
      </c>
      <c r="AG73" s="37">
        <f>V73/100*35</f>
        <v>2800</v>
      </c>
      <c r="AH73" s="37"/>
      <c r="AI73" s="37"/>
      <c r="AJ73" s="37"/>
      <c r="AK73" s="24"/>
      <c r="AL73" s="35">
        <f aca="true" t="shared" si="8" ref="AL73:AL82">+X73-AF73</f>
        <v>26.700000000000003</v>
      </c>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row>
    <row r="74" spans="1:243" s="40" customFormat="1" ht="28.5" customHeight="1">
      <c r="A74" s="298">
        <v>11</v>
      </c>
      <c r="B74" s="359" t="s">
        <v>188</v>
      </c>
      <c r="C74" s="75" t="s">
        <v>184</v>
      </c>
      <c r="D74" s="26"/>
      <c r="E74" s="26"/>
      <c r="F74" s="26"/>
      <c r="G74" s="26"/>
      <c r="H74" s="71"/>
      <c r="I74" s="71"/>
      <c r="J74" s="71"/>
      <c r="K74" s="71"/>
      <c r="L74" s="71"/>
      <c r="M74" s="71"/>
      <c r="N74" s="353"/>
      <c r="O74" s="71"/>
      <c r="P74" s="71"/>
      <c r="Q74" s="71"/>
      <c r="R74" s="71"/>
      <c r="S74" s="71"/>
      <c r="T74" s="71"/>
      <c r="U74" s="366">
        <v>5000</v>
      </c>
      <c r="V74" s="366">
        <v>5000</v>
      </c>
      <c r="W74" s="301"/>
      <c r="X74" s="73">
        <f t="shared" si="4"/>
        <v>65</v>
      </c>
      <c r="Y74" s="71"/>
      <c r="Z74" s="71"/>
      <c r="AA74" s="37" t="s">
        <v>822</v>
      </c>
      <c r="AB74" s="312">
        <v>63</v>
      </c>
      <c r="AC74" s="313">
        <f t="shared" si="7"/>
        <v>2</v>
      </c>
      <c r="AD74" s="36"/>
      <c r="AE74" s="36"/>
      <c r="AF74" s="36">
        <v>77.3</v>
      </c>
      <c r="AG74" s="37">
        <f>V74/100*35</f>
        <v>1750</v>
      </c>
      <c r="AH74" s="37"/>
      <c r="AI74" s="37"/>
      <c r="AJ74" s="37"/>
      <c r="AK74" s="24"/>
      <c r="AL74" s="35">
        <f t="shared" si="8"/>
        <v>-12.299999999999997</v>
      </c>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c r="IF74" s="31"/>
      <c r="IG74" s="31"/>
      <c r="IH74" s="31"/>
      <c r="II74" s="31"/>
    </row>
    <row r="75" spans="1:243" s="39" customFormat="1" ht="12.75">
      <c r="A75" s="67" t="s">
        <v>48</v>
      </c>
      <c r="B75" s="34" t="s">
        <v>56</v>
      </c>
      <c r="C75" s="6"/>
      <c r="D75" s="67"/>
      <c r="E75" s="67"/>
      <c r="F75" s="67"/>
      <c r="G75" s="67"/>
      <c r="H75" s="69"/>
      <c r="I75" s="69"/>
      <c r="J75" s="69"/>
      <c r="K75" s="69"/>
      <c r="L75" s="69"/>
      <c r="M75" s="69"/>
      <c r="N75" s="352"/>
      <c r="O75" s="69"/>
      <c r="P75" s="69"/>
      <c r="Q75" s="69"/>
      <c r="R75" s="69"/>
      <c r="S75" s="69"/>
      <c r="T75" s="69"/>
      <c r="U75" s="275"/>
      <c r="V75" s="275"/>
      <c r="W75" s="69"/>
      <c r="X75" s="73">
        <f t="shared" si="4"/>
        <v>0</v>
      </c>
      <c r="Y75" s="69"/>
      <c r="Z75" s="69"/>
      <c r="AA75" s="33"/>
      <c r="AB75" s="312">
        <v>0</v>
      </c>
      <c r="AC75" s="313">
        <f t="shared" si="7"/>
        <v>0</v>
      </c>
      <c r="AD75" s="32"/>
      <c r="AE75" s="32"/>
      <c r="AF75" s="267">
        <v>0</v>
      </c>
      <c r="AG75" s="267">
        <f>SUM(AG78:AG82)</f>
        <v>16450</v>
      </c>
      <c r="AH75" s="33">
        <f>AH223</f>
        <v>12406.684000000001</v>
      </c>
      <c r="AI75" s="33">
        <f>AG75+AH75</f>
        <v>28856.684</v>
      </c>
      <c r="AJ75" s="33">
        <f>AA223</f>
        <v>27676.772339344825</v>
      </c>
      <c r="AK75" s="34">
        <f>AI75-AJ75</f>
        <v>1179.911660655176</v>
      </c>
      <c r="AL75" s="35">
        <f t="shared" si="8"/>
        <v>0</v>
      </c>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c r="FO75" s="169"/>
      <c r="FP75" s="169"/>
      <c r="FQ75" s="169"/>
      <c r="FR75" s="169"/>
      <c r="FS75" s="169"/>
      <c r="FT75" s="169"/>
      <c r="FU75" s="169"/>
      <c r="FV75" s="169"/>
      <c r="FW75" s="169"/>
      <c r="FX75" s="169"/>
      <c r="FY75" s="169"/>
      <c r="FZ75" s="169"/>
      <c r="GA75" s="169"/>
      <c r="GB75" s="169"/>
      <c r="GC75" s="169"/>
      <c r="GD75" s="169"/>
      <c r="GE75" s="169"/>
      <c r="GF75" s="169"/>
      <c r="GG75" s="169"/>
      <c r="GH75" s="169"/>
      <c r="GI75" s="169"/>
      <c r="GJ75" s="169"/>
      <c r="GK75" s="169"/>
      <c r="GL75" s="169"/>
      <c r="GM75" s="169"/>
      <c r="GN75" s="169"/>
      <c r="GO75" s="169"/>
      <c r="GP75" s="169"/>
      <c r="GQ75" s="169"/>
      <c r="GR75" s="169"/>
      <c r="GS75" s="169"/>
      <c r="GT75" s="169"/>
      <c r="GU75" s="169"/>
      <c r="GV75" s="169"/>
      <c r="GW75" s="169"/>
      <c r="GX75" s="169"/>
      <c r="GY75" s="169"/>
      <c r="GZ75" s="169"/>
      <c r="HA75" s="169"/>
      <c r="HB75" s="169"/>
      <c r="HC75" s="169"/>
      <c r="HD75" s="169"/>
      <c r="HE75" s="169"/>
      <c r="HF75" s="169"/>
      <c r="HG75" s="169"/>
      <c r="HH75" s="169"/>
      <c r="HI75" s="169"/>
      <c r="HJ75" s="169"/>
      <c r="HK75" s="169"/>
      <c r="HL75" s="169"/>
      <c r="HM75" s="169"/>
      <c r="HN75" s="169"/>
      <c r="HO75" s="169"/>
      <c r="HP75" s="169"/>
      <c r="HQ75" s="169"/>
      <c r="HR75" s="169"/>
      <c r="HS75" s="169"/>
      <c r="HT75" s="169"/>
      <c r="HU75" s="169"/>
      <c r="HV75" s="169"/>
      <c r="HW75" s="169"/>
      <c r="HX75" s="169"/>
      <c r="HY75" s="169"/>
      <c r="HZ75" s="169"/>
      <c r="IA75" s="169"/>
      <c r="IB75" s="169"/>
      <c r="IC75" s="169"/>
      <c r="ID75" s="169"/>
      <c r="IE75" s="169"/>
      <c r="IF75" s="169"/>
      <c r="IG75" s="169"/>
      <c r="IH75" s="169"/>
      <c r="II75" s="169"/>
    </row>
    <row r="76" spans="1:38" s="41" customFormat="1" ht="25.5">
      <c r="A76" s="367">
        <v>1</v>
      </c>
      <c r="B76" s="368" t="s">
        <v>521</v>
      </c>
      <c r="C76" s="26" t="s">
        <v>12</v>
      </c>
      <c r="D76" s="54"/>
      <c r="E76" s="54"/>
      <c r="F76" s="369">
        <v>2016</v>
      </c>
      <c r="G76" s="370" t="s">
        <v>59</v>
      </c>
      <c r="H76" s="371"/>
      <c r="I76" s="371"/>
      <c r="J76" s="72"/>
      <c r="K76" s="72"/>
      <c r="L76" s="72"/>
      <c r="M76" s="72"/>
      <c r="N76" s="72"/>
      <c r="O76" s="372"/>
      <c r="P76" s="72"/>
      <c r="Q76" s="371"/>
      <c r="R76" s="371"/>
      <c r="S76" s="371"/>
      <c r="T76" s="72"/>
      <c r="U76" s="371">
        <v>1000</v>
      </c>
      <c r="V76" s="371">
        <f>U76</f>
        <v>1000</v>
      </c>
      <c r="W76" s="343"/>
      <c r="X76" s="73">
        <f t="shared" si="4"/>
        <v>13</v>
      </c>
      <c r="Y76" s="371"/>
      <c r="Z76" s="343"/>
      <c r="AA76" s="37" t="s">
        <v>830</v>
      </c>
      <c r="AB76" s="312">
        <v>13</v>
      </c>
      <c r="AC76" s="313">
        <f t="shared" si="7"/>
        <v>0</v>
      </c>
      <c r="AD76" s="36"/>
      <c r="AE76" s="36"/>
      <c r="AF76" s="36">
        <v>1000</v>
      </c>
      <c r="AG76" s="37"/>
      <c r="AH76" s="37"/>
      <c r="AI76" s="37"/>
      <c r="AJ76" s="37"/>
      <c r="AK76" s="24"/>
      <c r="AL76" s="35">
        <f t="shared" si="8"/>
        <v>-987</v>
      </c>
    </row>
    <row r="77" spans="1:243" s="39" customFormat="1" ht="38.25">
      <c r="A77" s="367">
        <v>2</v>
      </c>
      <c r="B77" s="368" t="s">
        <v>13</v>
      </c>
      <c r="C77" s="26" t="s">
        <v>12</v>
      </c>
      <c r="D77" s="361"/>
      <c r="E77" s="361">
        <f>A77</f>
        <v>2</v>
      </c>
      <c r="F77" s="75" t="s">
        <v>372</v>
      </c>
      <c r="G77" s="361"/>
      <c r="H77" s="275" t="s">
        <v>59</v>
      </c>
      <c r="I77" s="275"/>
      <c r="J77" s="275"/>
      <c r="K77" s="275"/>
      <c r="L77" s="275"/>
      <c r="M77" s="275"/>
      <c r="N77" s="275"/>
      <c r="O77" s="275"/>
      <c r="P77" s="275"/>
      <c r="Q77" s="275"/>
      <c r="R77" s="275"/>
      <c r="S77" s="373"/>
      <c r="T77" s="70"/>
      <c r="U77" s="343">
        <v>11000</v>
      </c>
      <c r="V77" s="343">
        <v>6600</v>
      </c>
      <c r="W77" s="343"/>
      <c r="X77" s="73">
        <f t="shared" si="4"/>
        <v>86</v>
      </c>
      <c r="Y77" s="71"/>
      <c r="Z77" s="275"/>
      <c r="AA77" s="37" t="s">
        <v>830</v>
      </c>
      <c r="AB77" s="312">
        <v>83</v>
      </c>
      <c r="AC77" s="313">
        <f t="shared" si="7"/>
        <v>3</v>
      </c>
      <c r="AD77" s="36"/>
      <c r="AE77" s="36"/>
      <c r="AF77" s="36">
        <v>2310</v>
      </c>
      <c r="AG77" s="37"/>
      <c r="AH77" s="37">
        <f>V77-X77</f>
        <v>6514</v>
      </c>
      <c r="AI77" s="37"/>
      <c r="AJ77" s="37"/>
      <c r="AK77" s="24">
        <v>0</v>
      </c>
      <c r="AL77" s="35">
        <f t="shared" si="8"/>
        <v>-2224</v>
      </c>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c r="CG77" s="273"/>
      <c r="CH77" s="273"/>
      <c r="CI77" s="273"/>
      <c r="CJ77" s="273"/>
      <c r="CK77" s="273"/>
      <c r="CL77" s="273"/>
      <c r="CM77" s="273"/>
      <c r="CN77" s="273"/>
      <c r="CO77" s="273"/>
      <c r="CP77" s="273"/>
      <c r="CQ77" s="273"/>
      <c r="CR77" s="273"/>
      <c r="CS77" s="273"/>
      <c r="CT77" s="273"/>
      <c r="CU77" s="273"/>
      <c r="CV77" s="273"/>
      <c r="CW77" s="273"/>
      <c r="CX77" s="273"/>
      <c r="CY77" s="273"/>
      <c r="CZ77" s="273"/>
      <c r="DA77" s="273"/>
      <c r="DB77" s="273"/>
      <c r="DC77" s="273"/>
      <c r="DD77" s="273"/>
      <c r="DE77" s="273"/>
      <c r="DF77" s="273"/>
      <c r="DG77" s="273"/>
      <c r="DH77" s="273"/>
      <c r="DI77" s="273"/>
      <c r="DJ77" s="273"/>
      <c r="DK77" s="273"/>
      <c r="DL77" s="273"/>
      <c r="DM77" s="273"/>
      <c r="DN77" s="273"/>
      <c r="DO77" s="273"/>
      <c r="DP77" s="273"/>
      <c r="DQ77" s="273"/>
      <c r="DR77" s="273"/>
      <c r="DS77" s="273"/>
      <c r="DT77" s="273"/>
      <c r="DU77" s="273"/>
      <c r="DV77" s="273"/>
      <c r="DW77" s="273"/>
      <c r="DX77" s="273"/>
      <c r="DY77" s="273"/>
      <c r="DZ77" s="273"/>
      <c r="EA77" s="273"/>
      <c r="EB77" s="273"/>
      <c r="EC77" s="273"/>
      <c r="ED77" s="273"/>
      <c r="EE77" s="273"/>
      <c r="EF77" s="273"/>
      <c r="EG77" s="273"/>
      <c r="EH77" s="273"/>
      <c r="EI77" s="273"/>
      <c r="EJ77" s="273"/>
      <c r="EK77" s="273"/>
      <c r="EL77" s="273"/>
      <c r="EM77" s="273"/>
      <c r="EN77" s="273"/>
      <c r="EO77" s="273"/>
      <c r="EP77" s="273"/>
      <c r="EQ77" s="273"/>
      <c r="ER77" s="273"/>
      <c r="ES77" s="273"/>
      <c r="ET77" s="273"/>
      <c r="EU77" s="273"/>
      <c r="EV77" s="273"/>
      <c r="EW77" s="273"/>
      <c r="EX77" s="273"/>
      <c r="EY77" s="273"/>
      <c r="EZ77" s="273"/>
      <c r="FA77" s="273"/>
      <c r="FB77" s="273"/>
      <c r="FC77" s="273"/>
      <c r="FD77" s="273"/>
      <c r="FE77" s="273"/>
      <c r="FF77" s="273"/>
      <c r="FG77" s="273"/>
      <c r="FH77" s="273"/>
      <c r="FI77" s="273"/>
      <c r="FJ77" s="273"/>
      <c r="FK77" s="273"/>
      <c r="FL77" s="273"/>
      <c r="FM77" s="273"/>
      <c r="FN77" s="273"/>
      <c r="FO77" s="273"/>
      <c r="FP77" s="273"/>
      <c r="FQ77" s="273"/>
      <c r="FR77" s="273"/>
      <c r="FS77" s="273"/>
      <c r="FT77" s="273"/>
      <c r="FU77" s="273"/>
      <c r="FV77" s="273"/>
      <c r="FW77" s="273"/>
      <c r="FX77" s="273"/>
      <c r="FY77" s="273"/>
      <c r="FZ77" s="273"/>
      <c r="GA77" s="273"/>
      <c r="GB77" s="273"/>
      <c r="GC77" s="273"/>
      <c r="GD77" s="273"/>
      <c r="GE77" s="273"/>
      <c r="GF77" s="273"/>
      <c r="GG77" s="273"/>
      <c r="GH77" s="273"/>
      <c r="GI77" s="273"/>
      <c r="GJ77" s="273"/>
      <c r="GK77" s="273"/>
      <c r="GL77" s="273"/>
      <c r="GM77" s="273"/>
      <c r="GN77" s="273"/>
      <c r="GO77" s="273"/>
      <c r="GP77" s="273"/>
      <c r="GQ77" s="273"/>
      <c r="GR77" s="273"/>
      <c r="GS77" s="273"/>
      <c r="GT77" s="273"/>
      <c r="GU77" s="273"/>
      <c r="GV77" s="273"/>
      <c r="GW77" s="273"/>
      <c r="GX77" s="273"/>
      <c r="GY77" s="273"/>
      <c r="GZ77" s="273"/>
      <c r="HA77" s="273"/>
      <c r="HB77" s="273"/>
      <c r="HC77" s="273"/>
      <c r="HD77" s="273"/>
      <c r="HE77" s="273"/>
      <c r="HF77" s="273"/>
      <c r="HG77" s="273"/>
      <c r="HH77" s="273"/>
      <c r="HI77" s="273"/>
      <c r="HJ77" s="273"/>
      <c r="HK77" s="273"/>
      <c r="HL77" s="273"/>
      <c r="HM77" s="273"/>
      <c r="HN77" s="273"/>
      <c r="HO77" s="273"/>
      <c r="HP77" s="273"/>
      <c r="HQ77" s="273"/>
      <c r="HR77" s="273"/>
      <c r="HS77" s="273"/>
      <c r="HT77" s="273"/>
      <c r="HU77" s="273"/>
      <c r="HV77" s="273"/>
      <c r="HW77" s="273"/>
      <c r="HX77" s="273"/>
      <c r="HY77" s="273"/>
      <c r="HZ77" s="273"/>
      <c r="IA77" s="273"/>
      <c r="IB77" s="273"/>
      <c r="IC77" s="273"/>
      <c r="ID77" s="273"/>
      <c r="IE77" s="273"/>
      <c r="IF77" s="273"/>
      <c r="IG77" s="273"/>
      <c r="IH77" s="273"/>
      <c r="II77" s="273"/>
    </row>
    <row r="78" spans="1:243" s="40" customFormat="1" ht="25.5">
      <c r="A78" s="367">
        <v>3</v>
      </c>
      <c r="B78" s="77" t="s">
        <v>539</v>
      </c>
      <c r="C78" s="75" t="s">
        <v>12</v>
      </c>
      <c r="D78" s="26"/>
      <c r="E78" s="26"/>
      <c r="F78" s="26"/>
      <c r="G78" s="26"/>
      <c r="H78" s="71"/>
      <c r="I78" s="71"/>
      <c r="J78" s="71"/>
      <c r="K78" s="71"/>
      <c r="L78" s="71"/>
      <c r="M78" s="71"/>
      <c r="N78" s="353"/>
      <c r="O78" s="71"/>
      <c r="P78" s="71"/>
      <c r="Q78" s="71"/>
      <c r="R78" s="71"/>
      <c r="S78" s="71"/>
      <c r="T78" s="71"/>
      <c r="U78" s="343">
        <v>15000</v>
      </c>
      <c r="V78" s="343">
        <f>U78</f>
        <v>15000</v>
      </c>
      <c r="W78" s="71"/>
      <c r="X78" s="73">
        <f t="shared" si="4"/>
        <v>195</v>
      </c>
      <c r="Y78" s="71"/>
      <c r="Z78" s="71"/>
      <c r="AA78" s="37" t="s">
        <v>830</v>
      </c>
      <c r="AB78" s="312">
        <v>190</v>
      </c>
      <c r="AC78" s="313">
        <f t="shared" si="7"/>
        <v>5</v>
      </c>
      <c r="AD78" s="36"/>
      <c r="AE78" s="36"/>
      <c r="AF78" s="36">
        <v>231.9</v>
      </c>
      <c r="AG78" s="37">
        <f>V78/100*35</f>
        <v>5250</v>
      </c>
      <c r="AH78" s="37"/>
      <c r="AI78" s="37"/>
      <c r="AJ78" s="37"/>
      <c r="AK78" s="24"/>
      <c r="AL78" s="35">
        <f t="shared" si="8"/>
        <v>-36.900000000000006</v>
      </c>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row>
    <row r="79" spans="1:243" s="40" customFormat="1" ht="25.5">
      <c r="A79" s="367">
        <v>4</v>
      </c>
      <c r="B79" s="77" t="s">
        <v>14</v>
      </c>
      <c r="C79" s="75" t="s">
        <v>12</v>
      </c>
      <c r="D79" s="26"/>
      <c r="E79" s="26"/>
      <c r="F79" s="26"/>
      <c r="G79" s="26"/>
      <c r="H79" s="71"/>
      <c r="I79" s="71"/>
      <c r="J79" s="71"/>
      <c r="K79" s="71"/>
      <c r="L79" s="71"/>
      <c r="M79" s="71"/>
      <c r="N79" s="353"/>
      <c r="O79" s="71"/>
      <c r="P79" s="71"/>
      <c r="Q79" s="71"/>
      <c r="R79" s="71"/>
      <c r="S79" s="71"/>
      <c r="T79" s="71"/>
      <c r="U79" s="343">
        <v>18000</v>
      </c>
      <c r="V79" s="343">
        <f>U79</f>
        <v>18000</v>
      </c>
      <c r="W79" s="71"/>
      <c r="X79" s="73">
        <f t="shared" si="4"/>
        <v>234</v>
      </c>
      <c r="Y79" s="71"/>
      <c r="Z79" s="71"/>
      <c r="AA79" s="37" t="s">
        <v>830</v>
      </c>
      <c r="AB79" s="312">
        <v>228</v>
      </c>
      <c r="AC79" s="313">
        <f t="shared" si="7"/>
        <v>6</v>
      </c>
      <c r="AD79" s="36"/>
      <c r="AE79" s="36"/>
      <c r="AF79" s="36">
        <v>278.28000000000003</v>
      </c>
      <c r="AG79" s="37">
        <f>V79/100*35</f>
        <v>6300</v>
      </c>
      <c r="AH79" s="37"/>
      <c r="AI79" s="37"/>
      <c r="AJ79" s="37"/>
      <c r="AK79" s="24"/>
      <c r="AL79" s="35">
        <f t="shared" si="8"/>
        <v>-44.28000000000003</v>
      </c>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row>
    <row r="80" spans="1:243" s="40" customFormat="1" ht="25.5">
      <c r="A80" s="367">
        <v>5</v>
      </c>
      <c r="B80" s="374" t="s">
        <v>524</v>
      </c>
      <c r="C80" s="75" t="s">
        <v>12</v>
      </c>
      <c r="D80" s="26"/>
      <c r="E80" s="26"/>
      <c r="F80" s="26"/>
      <c r="G80" s="26"/>
      <c r="H80" s="71"/>
      <c r="I80" s="71"/>
      <c r="J80" s="71"/>
      <c r="K80" s="71"/>
      <c r="L80" s="71"/>
      <c r="M80" s="71"/>
      <c r="N80" s="353"/>
      <c r="O80" s="71"/>
      <c r="P80" s="71"/>
      <c r="Q80" s="71"/>
      <c r="R80" s="71"/>
      <c r="S80" s="71"/>
      <c r="T80" s="71"/>
      <c r="U80" s="343">
        <v>7000</v>
      </c>
      <c r="V80" s="343">
        <v>7000</v>
      </c>
      <c r="W80" s="71"/>
      <c r="X80" s="73">
        <f t="shared" si="4"/>
        <v>91</v>
      </c>
      <c r="Y80" s="71"/>
      <c r="Z80" s="71"/>
      <c r="AA80" s="37" t="s">
        <v>830</v>
      </c>
      <c r="AB80" s="312">
        <v>89</v>
      </c>
      <c r="AC80" s="313">
        <f t="shared" si="7"/>
        <v>2</v>
      </c>
      <c r="AD80" s="36"/>
      <c r="AE80" s="36"/>
      <c r="AF80" s="36">
        <v>108.22</v>
      </c>
      <c r="AG80" s="37">
        <f>V80/100*35</f>
        <v>2450</v>
      </c>
      <c r="AH80" s="37"/>
      <c r="AI80" s="37"/>
      <c r="AJ80" s="37"/>
      <c r="AK80" s="24"/>
      <c r="AL80" s="35">
        <f t="shared" si="8"/>
        <v>-17.22</v>
      </c>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row>
    <row r="81" spans="1:243" s="40" customFormat="1" ht="25.5">
      <c r="A81" s="367">
        <v>6</v>
      </c>
      <c r="B81" s="374" t="s">
        <v>525</v>
      </c>
      <c r="C81" s="75" t="s">
        <v>12</v>
      </c>
      <c r="D81" s="26"/>
      <c r="E81" s="26"/>
      <c r="F81" s="26"/>
      <c r="G81" s="26"/>
      <c r="H81" s="71"/>
      <c r="I81" s="71"/>
      <c r="J81" s="71"/>
      <c r="K81" s="71"/>
      <c r="L81" s="71"/>
      <c r="M81" s="71"/>
      <c r="N81" s="353"/>
      <c r="O81" s="71"/>
      <c r="P81" s="71"/>
      <c r="Q81" s="71"/>
      <c r="R81" s="71"/>
      <c r="S81" s="71"/>
      <c r="T81" s="71"/>
      <c r="U81" s="343">
        <v>7000</v>
      </c>
      <c r="V81" s="343">
        <v>7000</v>
      </c>
      <c r="W81" s="71"/>
      <c r="X81" s="73">
        <f t="shared" si="4"/>
        <v>91</v>
      </c>
      <c r="Y81" s="71"/>
      <c r="Z81" s="71"/>
      <c r="AA81" s="37" t="s">
        <v>830</v>
      </c>
      <c r="AB81" s="312">
        <v>89</v>
      </c>
      <c r="AC81" s="313">
        <f t="shared" si="7"/>
        <v>2</v>
      </c>
      <c r="AD81" s="36"/>
      <c r="AE81" s="36"/>
      <c r="AF81" s="36">
        <v>108.22</v>
      </c>
      <c r="AG81" s="37">
        <f>V81/100*35</f>
        <v>2450</v>
      </c>
      <c r="AH81" s="37"/>
      <c r="AI81" s="37"/>
      <c r="AJ81" s="37"/>
      <c r="AK81" s="24"/>
      <c r="AL81" s="35">
        <f t="shared" si="8"/>
        <v>-17.22</v>
      </c>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row>
    <row r="82" spans="1:243" s="40" customFormat="1" ht="30.75" customHeight="1">
      <c r="A82" s="367">
        <v>7</v>
      </c>
      <c r="B82" s="348" t="s">
        <v>529</v>
      </c>
      <c r="C82" s="75" t="s">
        <v>12</v>
      </c>
      <c r="D82" s="26"/>
      <c r="E82" s="26">
        <f>A82</f>
        <v>7</v>
      </c>
      <c r="F82" s="26"/>
      <c r="G82" s="26"/>
      <c r="H82" s="71"/>
      <c r="I82" s="71"/>
      <c r="J82" s="71"/>
      <c r="K82" s="71"/>
      <c r="L82" s="71"/>
      <c r="M82" s="71"/>
      <c r="N82" s="353"/>
      <c r="O82" s="71"/>
      <c r="P82" s="71"/>
      <c r="Q82" s="71"/>
      <c r="R82" s="71"/>
      <c r="S82" s="71"/>
      <c r="T82" s="71"/>
      <c r="U82" s="375">
        <f>14000-250</f>
        <v>13750</v>
      </c>
      <c r="V82" s="343">
        <f>U82</f>
        <v>13750</v>
      </c>
      <c r="W82" s="71"/>
      <c r="X82" s="73">
        <f t="shared" si="4"/>
        <v>179</v>
      </c>
      <c r="Y82" s="71"/>
      <c r="Z82" s="71"/>
      <c r="AA82" s="37" t="s">
        <v>822</v>
      </c>
      <c r="AB82" s="312">
        <v>174</v>
      </c>
      <c r="AC82" s="313">
        <f t="shared" si="7"/>
        <v>5</v>
      </c>
      <c r="AD82" s="36"/>
      <c r="AE82" s="36"/>
      <c r="AF82" s="36">
        <v>212.57500000000002</v>
      </c>
      <c r="AG82" s="37"/>
      <c r="AH82" s="37"/>
      <c r="AI82" s="37"/>
      <c r="AJ82" s="37"/>
      <c r="AK82" s="24"/>
      <c r="AL82" s="35">
        <f t="shared" si="8"/>
        <v>-33.57500000000002</v>
      </c>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row>
    <row r="83" spans="1:243" s="572" customFormat="1" ht="25.5">
      <c r="A83" s="590">
        <v>8</v>
      </c>
      <c r="B83" s="580" t="s">
        <v>859</v>
      </c>
      <c r="C83" s="568"/>
      <c r="D83" s="553"/>
      <c r="E83" s="553"/>
      <c r="F83" s="553"/>
      <c r="G83" s="553"/>
      <c r="H83" s="555"/>
      <c r="I83" s="555"/>
      <c r="J83" s="555"/>
      <c r="K83" s="555"/>
      <c r="L83" s="555"/>
      <c r="M83" s="555"/>
      <c r="N83" s="569"/>
      <c r="O83" s="555"/>
      <c r="P83" s="555"/>
      <c r="Q83" s="555"/>
      <c r="R83" s="555"/>
      <c r="S83" s="555"/>
      <c r="T83" s="555"/>
      <c r="U83" s="566">
        <v>7000</v>
      </c>
      <c r="V83" s="566">
        <f>U83</f>
        <v>7000</v>
      </c>
      <c r="W83" s="555"/>
      <c r="X83" s="73">
        <f t="shared" si="4"/>
        <v>91</v>
      </c>
      <c r="Y83" s="555"/>
      <c r="Z83" s="555"/>
      <c r="AA83" s="558" t="s">
        <v>831</v>
      </c>
      <c r="AB83" s="559">
        <v>89</v>
      </c>
      <c r="AC83" s="560">
        <f t="shared" si="7"/>
        <v>2</v>
      </c>
      <c r="AD83" s="561">
        <f>X83</f>
        <v>91</v>
      </c>
      <c r="AE83" s="561"/>
      <c r="AF83" s="561"/>
      <c r="AG83" s="561"/>
      <c r="AH83" s="558"/>
      <c r="AI83" s="558"/>
      <c r="AJ83" s="558"/>
      <c r="AK83" s="562"/>
      <c r="AL83" s="563"/>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1"/>
      <c r="CA83" s="571"/>
      <c r="CB83" s="571"/>
      <c r="CC83" s="571"/>
      <c r="CD83" s="571"/>
      <c r="CE83" s="571"/>
      <c r="CF83" s="571"/>
      <c r="CG83" s="571"/>
      <c r="CH83" s="571"/>
      <c r="CI83" s="571"/>
      <c r="CJ83" s="571"/>
      <c r="CK83" s="571"/>
      <c r="CL83" s="571"/>
      <c r="CM83" s="571"/>
      <c r="CN83" s="571"/>
      <c r="CO83" s="571"/>
      <c r="CP83" s="571"/>
      <c r="CQ83" s="571"/>
      <c r="CR83" s="571"/>
      <c r="CS83" s="571"/>
      <c r="CT83" s="571"/>
      <c r="CU83" s="571"/>
      <c r="CV83" s="571"/>
      <c r="CW83" s="571"/>
      <c r="CX83" s="571"/>
      <c r="CY83" s="571"/>
      <c r="CZ83" s="571"/>
      <c r="DA83" s="571"/>
      <c r="DB83" s="571"/>
      <c r="DC83" s="571"/>
      <c r="DD83" s="571"/>
      <c r="DE83" s="571"/>
      <c r="DF83" s="571"/>
      <c r="DG83" s="571"/>
      <c r="DH83" s="571"/>
      <c r="DI83" s="571"/>
      <c r="DJ83" s="571"/>
      <c r="DK83" s="571"/>
      <c r="DL83" s="571"/>
      <c r="DM83" s="571"/>
      <c r="DN83" s="571"/>
      <c r="DO83" s="571"/>
      <c r="DP83" s="571"/>
      <c r="DQ83" s="571"/>
      <c r="DR83" s="571"/>
      <c r="DS83" s="571"/>
      <c r="DT83" s="571"/>
      <c r="DU83" s="571"/>
      <c r="DV83" s="571"/>
      <c r="DW83" s="571"/>
      <c r="DX83" s="571"/>
      <c r="DY83" s="571"/>
      <c r="DZ83" s="571"/>
      <c r="EA83" s="571"/>
      <c r="EB83" s="571"/>
      <c r="EC83" s="571"/>
      <c r="ED83" s="571"/>
      <c r="EE83" s="571"/>
      <c r="EF83" s="571"/>
      <c r="EG83" s="571"/>
      <c r="EH83" s="571"/>
      <c r="EI83" s="571"/>
      <c r="EJ83" s="571"/>
      <c r="EK83" s="571"/>
      <c r="EL83" s="571"/>
      <c r="EM83" s="571"/>
      <c r="EN83" s="571"/>
      <c r="EO83" s="571"/>
      <c r="EP83" s="571"/>
      <c r="EQ83" s="571"/>
      <c r="ER83" s="571"/>
      <c r="ES83" s="571"/>
      <c r="ET83" s="571"/>
      <c r="EU83" s="571"/>
      <c r="EV83" s="571"/>
      <c r="EW83" s="571"/>
      <c r="EX83" s="571"/>
      <c r="EY83" s="571"/>
      <c r="EZ83" s="571"/>
      <c r="FA83" s="571"/>
      <c r="FB83" s="571"/>
      <c r="FC83" s="571"/>
      <c r="FD83" s="571"/>
      <c r="FE83" s="571"/>
      <c r="FF83" s="571"/>
      <c r="FG83" s="571"/>
      <c r="FH83" s="571"/>
      <c r="FI83" s="571"/>
      <c r="FJ83" s="571"/>
      <c r="FK83" s="571"/>
      <c r="FL83" s="571"/>
      <c r="FM83" s="571"/>
      <c r="FN83" s="571"/>
      <c r="FO83" s="571"/>
      <c r="FP83" s="571"/>
      <c r="FQ83" s="571"/>
      <c r="FR83" s="571"/>
      <c r="FS83" s="571"/>
      <c r="FT83" s="571"/>
      <c r="FU83" s="571"/>
      <c r="FV83" s="571"/>
      <c r="FW83" s="571"/>
      <c r="FX83" s="571"/>
      <c r="FY83" s="571"/>
      <c r="FZ83" s="571"/>
      <c r="GA83" s="571"/>
      <c r="GB83" s="571"/>
      <c r="GC83" s="571"/>
      <c r="GD83" s="571"/>
      <c r="GE83" s="571"/>
      <c r="GF83" s="571"/>
      <c r="GG83" s="571"/>
      <c r="GH83" s="571"/>
      <c r="GI83" s="571"/>
      <c r="GJ83" s="571"/>
      <c r="GK83" s="571"/>
      <c r="GL83" s="571"/>
      <c r="GM83" s="571"/>
      <c r="GN83" s="571"/>
      <c r="GO83" s="571"/>
      <c r="GP83" s="571"/>
      <c r="GQ83" s="571"/>
      <c r="GR83" s="571"/>
      <c r="GS83" s="571"/>
      <c r="GT83" s="571"/>
      <c r="GU83" s="571"/>
      <c r="GV83" s="571"/>
      <c r="GW83" s="571"/>
      <c r="GX83" s="571"/>
      <c r="GY83" s="571"/>
      <c r="GZ83" s="571"/>
      <c r="HA83" s="571"/>
      <c r="HB83" s="571"/>
      <c r="HC83" s="571"/>
      <c r="HD83" s="571"/>
      <c r="HE83" s="571"/>
      <c r="HF83" s="571"/>
      <c r="HG83" s="571"/>
      <c r="HH83" s="571"/>
      <c r="HI83" s="571"/>
      <c r="HJ83" s="571"/>
      <c r="HK83" s="571"/>
      <c r="HL83" s="571"/>
      <c r="HM83" s="571"/>
      <c r="HN83" s="571"/>
      <c r="HO83" s="571"/>
      <c r="HP83" s="571"/>
      <c r="HQ83" s="571"/>
      <c r="HR83" s="571"/>
      <c r="HS83" s="571"/>
      <c r="HT83" s="571"/>
      <c r="HU83" s="571"/>
      <c r="HV83" s="571"/>
      <c r="HW83" s="571"/>
      <c r="HX83" s="571"/>
      <c r="HY83" s="571"/>
      <c r="HZ83" s="571"/>
      <c r="IA83" s="571"/>
      <c r="IB83" s="571"/>
      <c r="IC83" s="571"/>
      <c r="ID83" s="571"/>
      <c r="IE83" s="571"/>
      <c r="IF83" s="571"/>
      <c r="IG83" s="571"/>
      <c r="IH83" s="571"/>
      <c r="II83" s="571"/>
    </row>
    <row r="84" spans="1:243" s="572" customFormat="1" ht="25.5">
      <c r="A84" s="594">
        <v>9</v>
      </c>
      <c r="B84" s="595" t="s">
        <v>573</v>
      </c>
      <c r="C84" s="568"/>
      <c r="D84" s="553"/>
      <c r="E84" s="553"/>
      <c r="F84" s="553"/>
      <c r="G84" s="553"/>
      <c r="H84" s="555"/>
      <c r="I84" s="555"/>
      <c r="J84" s="555"/>
      <c r="K84" s="555"/>
      <c r="L84" s="555"/>
      <c r="M84" s="555"/>
      <c r="N84" s="569"/>
      <c r="O84" s="555"/>
      <c r="P84" s="555"/>
      <c r="Q84" s="555"/>
      <c r="R84" s="555"/>
      <c r="S84" s="555"/>
      <c r="T84" s="555"/>
      <c r="U84" s="596">
        <v>5000</v>
      </c>
      <c r="V84" s="566">
        <f>U84</f>
        <v>5000</v>
      </c>
      <c r="W84" s="555"/>
      <c r="X84" s="73">
        <f t="shared" si="4"/>
        <v>65</v>
      </c>
      <c r="Y84" s="555"/>
      <c r="Z84" s="555"/>
      <c r="AA84" s="558" t="s">
        <v>830</v>
      </c>
      <c r="AB84" s="559">
        <v>63</v>
      </c>
      <c r="AC84" s="560">
        <f aca="true" t="shared" si="9" ref="AC84:AC116">+X84-AB84</f>
        <v>2</v>
      </c>
      <c r="AD84" s="561">
        <f>X84</f>
        <v>65</v>
      </c>
      <c r="AE84" s="561"/>
      <c r="AF84" s="561"/>
      <c r="AG84" s="558"/>
      <c r="AH84" s="558"/>
      <c r="AI84" s="558"/>
      <c r="AJ84" s="558"/>
      <c r="AK84" s="562"/>
      <c r="AL84" s="563"/>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1"/>
      <c r="CJ84" s="571"/>
      <c r="CK84" s="571"/>
      <c r="CL84" s="571"/>
      <c r="CM84" s="571"/>
      <c r="CN84" s="571"/>
      <c r="CO84" s="571"/>
      <c r="CP84" s="571"/>
      <c r="CQ84" s="571"/>
      <c r="CR84" s="571"/>
      <c r="CS84" s="571"/>
      <c r="CT84" s="571"/>
      <c r="CU84" s="571"/>
      <c r="CV84" s="571"/>
      <c r="CW84" s="571"/>
      <c r="CX84" s="571"/>
      <c r="CY84" s="571"/>
      <c r="CZ84" s="571"/>
      <c r="DA84" s="571"/>
      <c r="DB84" s="571"/>
      <c r="DC84" s="571"/>
      <c r="DD84" s="571"/>
      <c r="DE84" s="571"/>
      <c r="DF84" s="571"/>
      <c r="DG84" s="571"/>
      <c r="DH84" s="571"/>
      <c r="DI84" s="571"/>
      <c r="DJ84" s="571"/>
      <c r="DK84" s="571"/>
      <c r="DL84" s="571"/>
      <c r="DM84" s="571"/>
      <c r="DN84" s="571"/>
      <c r="DO84" s="571"/>
      <c r="DP84" s="571"/>
      <c r="DQ84" s="571"/>
      <c r="DR84" s="571"/>
      <c r="DS84" s="571"/>
      <c r="DT84" s="571"/>
      <c r="DU84" s="571"/>
      <c r="DV84" s="571"/>
      <c r="DW84" s="571"/>
      <c r="DX84" s="571"/>
      <c r="DY84" s="571"/>
      <c r="DZ84" s="571"/>
      <c r="EA84" s="571"/>
      <c r="EB84" s="571"/>
      <c r="EC84" s="571"/>
      <c r="ED84" s="571"/>
      <c r="EE84" s="571"/>
      <c r="EF84" s="571"/>
      <c r="EG84" s="571"/>
      <c r="EH84" s="571"/>
      <c r="EI84" s="571"/>
      <c r="EJ84" s="571"/>
      <c r="EK84" s="571"/>
      <c r="EL84" s="571"/>
      <c r="EM84" s="571"/>
      <c r="EN84" s="571"/>
      <c r="EO84" s="571"/>
      <c r="EP84" s="571"/>
      <c r="EQ84" s="571"/>
      <c r="ER84" s="571"/>
      <c r="ES84" s="571"/>
      <c r="ET84" s="571"/>
      <c r="EU84" s="571"/>
      <c r="EV84" s="571"/>
      <c r="EW84" s="571"/>
      <c r="EX84" s="571"/>
      <c r="EY84" s="571"/>
      <c r="EZ84" s="571"/>
      <c r="FA84" s="571"/>
      <c r="FB84" s="571"/>
      <c r="FC84" s="571"/>
      <c r="FD84" s="571"/>
      <c r="FE84" s="571"/>
      <c r="FF84" s="571"/>
      <c r="FG84" s="571"/>
      <c r="FH84" s="571"/>
      <c r="FI84" s="571"/>
      <c r="FJ84" s="571"/>
      <c r="FK84" s="571"/>
      <c r="FL84" s="571"/>
      <c r="FM84" s="571"/>
      <c r="FN84" s="571"/>
      <c r="FO84" s="571"/>
      <c r="FP84" s="571"/>
      <c r="FQ84" s="571"/>
      <c r="FR84" s="571"/>
      <c r="FS84" s="571"/>
      <c r="FT84" s="571"/>
      <c r="FU84" s="571"/>
      <c r="FV84" s="571"/>
      <c r="FW84" s="571"/>
      <c r="FX84" s="571"/>
      <c r="FY84" s="571"/>
      <c r="FZ84" s="571"/>
      <c r="GA84" s="571"/>
      <c r="GB84" s="571"/>
      <c r="GC84" s="571"/>
      <c r="GD84" s="571"/>
      <c r="GE84" s="571"/>
      <c r="GF84" s="571"/>
      <c r="GG84" s="571"/>
      <c r="GH84" s="571"/>
      <c r="GI84" s="571"/>
      <c r="GJ84" s="571"/>
      <c r="GK84" s="571"/>
      <c r="GL84" s="571"/>
      <c r="GM84" s="571"/>
      <c r="GN84" s="571"/>
      <c r="GO84" s="571"/>
      <c r="GP84" s="571"/>
      <c r="GQ84" s="571"/>
      <c r="GR84" s="571"/>
      <c r="GS84" s="571"/>
      <c r="GT84" s="571"/>
      <c r="GU84" s="571"/>
      <c r="GV84" s="571"/>
      <c r="GW84" s="571"/>
      <c r="GX84" s="571"/>
      <c r="GY84" s="571"/>
      <c r="GZ84" s="571"/>
      <c r="HA84" s="571"/>
      <c r="HB84" s="571"/>
      <c r="HC84" s="571"/>
      <c r="HD84" s="571"/>
      <c r="HE84" s="571"/>
      <c r="HF84" s="571"/>
      <c r="HG84" s="571"/>
      <c r="HH84" s="571"/>
      <c r="HI84" s="571"/>
      <c r="HJ84" s="571"/>
      <c r="HK84" s="571"/>
      <c r="HL84" s="571"/>
      <c r="HM84" s="571"/>
      <c r="HN84" s="571"/>
      <c r="HO84" s="571"/>
      <c r="HP84" s="571"/>
      <c r="HQ84" s="571"/>
      <c r="HR84" s="571"/>
      <c r="HS84" s="571"/>
      <c r="HT84" s="571"/>
      <c r="HU84" s="571"/>
      <c r="HV84" s="571"/>
      <c r="HW84" s="571"/>
      <c r="HX84" s="571"/>
      <c r="HY84" s="571"/>
      <c r="HZ84" s="571"/>
      <c r="IA84" s="571"/>
      <c r="IB84" s="571"/>
      <c r="IC84" s="571"/>
      <c r="ID84" s="571"/>
      <c r="IE84" s="571"/>
      <c r="IF84" s="571"/>
      <c r="IG84" s="571"/>
      <c r="IH84" s="571"/>
      <c r="II84" s="571"/>
    </row>
    <row r="85" spans="1:243" s="39" customFormat="1" ht="18.75" customHeight="1">
      <c r="A85" s="67" t="s">
        <v>49</v>
      </c>
      <c r="B85" s="351" t="s">
        <v>359</v>
      </c>
      <c r="C85" s="6"/>
      <c r="D85" s="67"/>
      <c r="E85" s="67"/>
      <c r="F85" s="67"/>
      <c r="G85" s="67"/>
      <c r="H85" s="69"/>
      <c r="I85" s="69"/>
      <c r="J85" s="69"/>
      <c r="K85" s="69"/>
      <c r="L85" s="69"/>
      <c r="M85" s="69"/>
      <c r="N85" s="352"/>
      <c r="O85" s="69"/>
      <c r="P85" s="69"/>
      <c r="Q85" s="69"/>
      <c r="R85" s="69"/>
      <c r="S85" s="69"/>
      <c r="T85" s="69"/>
      <c r="U85" s="275"/>
      <c r="V85" s="275"/>
      <c r="W85" s="69"/>
      <c r="X85" s="73">
        <f t="shared" si="4"/>
        <v>0</v>
      </c>
      <c r="Y85" s="69"/>
      <c r="Z85" s="69"/>
      <c r="AA85" s="33"/>
      <c r="AB85" s="312">
        <v>0</v>
      </c>
      <c r="AC85" s="313">
        <f t="shared" si="9"/>
        <v>0</v>
      </c>
      <c r="AD85" s="32"/>
      <c r="AE85" s="32"/>
      <c r="AF85" s="267">
        <f>SUM(U86:U94)</f>
        <v>83650</v>
      </c>
      <c r="AG85" s="33">
        <f>SUM(AG89:AG92)</f>
        <v>10850</v>
      </c>
      <c r="AH85" s="33">
        <f>AH263</f>
        <v>14093</v>
      </c>
      <c r="AI85" s="33">
        <f>AG85+AH85</f>
        <v>24943</v>
      </c>
      <c r="AJ85" s="33">
        <f>AA263</f>
        <v>26035.28029100353</v>
      </c>
      <c r="AK85" s="34">
        <f>AI85-AJ85</f>
        <v>-1092.2802910035316</v>
      </c>
      <c r="AL85" s="35">
        <f>+X85-AF85</f>
        <v>-83650</v>
      </c>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c r="FO85" s="169"/>
      <c r="FP85" s="169"/>
      <c r="FQ85" s="169"/>
      <c r="FR85" s="169"/>
      <c r="FS85" s="169"/>
      <c r="FT85" s="169"/>
      <c r="FU85" s="169"/>
      <c r="FV85" s="169"/>
      <c r="FW85" s="169"/>
      <c r="FX85" s="169"/>
      <c r="FY85" s="169"/>
      <c r="FZ85" s="169"/>
      <c r="GA85" s="169"/>
      <c r="GB85" s="169"/>
      <c r="GC85" s="169"/>
      <c r="GD85" s="169"/>
      <c r="GE85" s="169"/>
      <c r="GF85" s="169"/>
      <c r="GG85" s="169"/>
      <c r="GH85" s="169"/>
      <c r="GI85" s="169"/>
      <c r="GJ85" s="169"/>
      <c r="GK85" s="169"/>
      <c r="GL85" s="169"/>
      <c r="GM85" s="169"/>
      <c r="GN85" s="169"/>
      <c r="GO85" s="169"/>
      <c r="GP85" s="169"/>
      <c r="GQ85" s="169"/>
      <c r="GR85" s="169"/>
      <c r="GS85" s="169"/>
      <c r="GT85" s="169"/>
      <c r="GU85" s="169"/>
      <c r="GV85" s="169"/>
      <c r="GW85" s="169"/>
      <c r="GX85" s="169"/>
      <c r="GY85" s="169"/>
      <c r="GZ85" s="169"/>
      <c r="HA85" s="169"/>
      <c r="HB85" s="169"/>
      <c r="HC85" s="169"/>
      <c r="HD85" s="169"/>
      <c r="HE85" s="169"/>
      <c r="HF85" s="169"/>
      <c r="HG85" s="169"/>
      <c r="HH85" s="169"/>
      <c r="HI85" s="169"/>
      <c r="HJ85" s="169"/>
      <c r="HK85" s="169"/>
      <c r="HL85" s="169"/>
      <c r="HM85" s="169"/>
      <c r="HN85" s="169"/>
      <c r="HO85" s="169"/>
      <c r="HP85" s="169"/>
      <c r="HQ85" s="169"/>
      <c r="HR85" s="169"/>
      <c r="HS85" s="169"/>
      <c r="HT85" s="169"/>
      <c r="HU85" s="169"/>
      <c r="HV85" s="169"/>
      <c r="HW85" s="169"/>
      <c r="HX85" s="169"/>
      <c r="HY85" s="169"/>
      <c r="HZ85" s="169"/>
      <c r="IA85" s="169"/>
      <c r="IB85" s="169"/>
      <c r="IC85" s="169"/>
      <c r="ID85" s="169"/>
      <c r="IE85" s="169"/>
      <c r="IF85" s="169"/>
      <c r="IG85" s="169"/>
      <c r="IH85" s="169"/>
      <c r="II85" s="169"/>
    </row>
    <row r="86" spans="1:38" s="41" customFormat="1" ht="25.5">
      <c r="A86" s="298">
        <v>1</v>
      </c>
      <c r="B86" s="349" t="s">
        <v>733</v>
      </c>
      <c r="C86" s="54"/>
      <c r="D86" s="54"/>
      <c r="E86" s="54"/>
      <c r="F86" s="75"/>
      <c r="G86" s="356"/>
      <c r="H86" s="343">
        <v>8000</v>
      </c>
      <c r="I86" s="343">
        <f>H86</f>
        <v>8000</v>
      </c>
      <c r="J86" s="72"/>
      <c r="K86" s="72"/>
      <c r="L86" s="72"/>
      <c r="M86" s="376"/>
      <c r="N86" s="376"/>
      <c r="O86" s="343"/>
      <c r="P86" s="343"/>
      <c r="Q86" s="343"/>
      <c r="R86" s="72"/>
      <c r="S86" s="72"/>
      <c r="T86" s="72"/>
      <c r="U86" s="343">
        <f>I86</f>
        <v>8000</v>
      </c>
      <c r="V86" s="343">
        <f>U86</f>
        <v>8000</v>
      </c>
      <c r="W86" s="343"/>
      <c r="X86" s="73">
        <f t="shared" si="4"/>
        <v>104</v>
      </c>
      <c r="Y86" s="343"/>
      <c r="Z86" s="343"/>
      <c r="AA86" s="37" t="s">
        <v>831</v>
      </c>
      <c r="AB86" s="312">
        <v>101</v>
      </c>
      <c r="AC86" s="313">
        <f t="shared" si="9"/>
        <v>3</v>
      </c>
      <c r="AD86" s="36"/>
      <c r="AE86" s="36"/>
      <c r="AF86" s="36"/>
      <c r="AG86" s="37"/>
      <c r="AH86" s="37"/>
      <c r="AI86" s="37"/>
      <c r="AJ86" s="37"/>
      <c r="AK86" s="24"/>
      <c r="AL86" s="35"/>
    </row>
    <row r="87" spans="1:243" s="40" customFormat="1" ht="25.5">
      <c r="A87" s="25">
        <v>2</v>
      </c>
      <c r="B87" s="349" t="s">
        <v>517</v>
      </c>
      <c r="C87" s="75" t="s">
        <v>392</v>
      </c>
      <c r="D87" s="26"/>
      <c r="E87" s="26"/>
      <c r="F87" s="26"/>
      <c r="G87" s="26"/>
      <c r="H87" s="71"/>
      <c r="I87" s="71"/>
      <c r="J87" s="71"/>
      <c r="K87" s="71"/>
      <c r="L87" s="71"/>
      <c r="M87" s="71"/>
      <c r="N87" s="353"/>
      <c r="O87" s="71"/>
      <c r="P87" s="71"/>
      <c r="Q87" s="71"/>
      <c r="R87" s="71"/>
      <c r="S87" s="71"/>
      <c r="T87" s="71"/>
      <c r="U87" s="343">
        <v>6000</v>
      </c>
      <c r="V87" s="343">
        <f>U87</f>
        <v>6000</v>
      </c>
      <c r="W87" s="71"/>
      <c r="X87" s="73">
        <f t="shared" si="4"/>
        <v>78</v>
      </c>
      <c r="Y87" s="71"/>
      <c r="Z87" s="71"/>
      <c r="AA87" s="37" t="s">
        <v>831</v>
      </c>
      <c r="AB87" s="312">
        <v>76</v>
      </c>
      <c r="AC87" s="313">
        <f t="shared" si="9"/>
        <v>2</v>
      </c>
      <c r="AD87" s="36"/>
      <c r="AE87" s="36"/>
      <c r="AF87" s="36">
        <v>108.22</v>
      </c>
      <c r="AG87" s="37">
        <f>V87/100*35</f>
        <v>2100</v>
      </c>
      <c r="AH87" s="37"/>
      <c r="AI87" s="37"/>
      <c r="AJ87" s="37"/>
      <c r="AK87" s="24"/>
      <c r="AL87" s="35">
        <f>+X87-AF87</f>
        <v>-30.22</v>
      </c>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row>
    <row r="88" spans="1:243" s="40" customFormat="1" ht="25.5">
      <c r="A88" s="298">
        <v>3</v>
      </c>
      <c r="B88" s="349" t="s">
        <v>575</v>
      </c>
      <c r="C88" s="75"/>
      <c r="D88" s="26"/>
      <c r="E88" s="26"/>
      <c r="F88" s="26"/>
      <c r="G88" s="26"/>
      <c r="H88" s="71"/>
      <c r="I88" s="71"/>
      <c r="J88" s="71"/>
      <c r="K88" s="71"/>
      <c r="L88" s="71"/>
      <c r="M88" s="71"/>
      <c r="N88" s="353"/>
      <c r="O88" s="71"/>
      <c r="P88" s="71"/>
      <c r="Q88" s="71"/>
      <c r="R88" s="71"/>
      <c r="S88" s="71"/>
      <c r="T88" s="71"/>
      <c r="U88" s="24">
        <v>16000</v>
      </c>
      <c r="V88" s="24">
        <f>U88</f>
        <v>16000</v>
      </c>
      <c r="W88" s="71"/>
      <c r="X88" s="73">
        <f t="shared" si="4"/>
        <v>208</v>
      </c>
      <c r="Y88" s="71"/>
      <c r="Z88" s="71"/>
      <c r="AA88" s="37" t="s">
        <v>831</v>
      </c>
      <c r="AB88" s="312">
        <v>202</v>
      </c>
      <c r="AC88" s="313">
        <f t="shared" si="9"/>
        <v>6</v>
      </c>
      <c r="AD88" s="36"/>
      <c r="AE88" s="36"/>
      <c r="AF88" s="36">
        <v>231.9</v>
      </c>
      <c r="AG88" s="37">
        <f>V88/100*35</f>
        <v>5600</v>
      </c>
      <c r="AH88" s="37"/>
      <c r="AI88" s="37"/>
      <c r="AJ88" s="37"/>
      <c r="AK88" s="24"/>
      <c r="AL88" s="35">
        <f>+X88-AF88</f>
        <v>-23.900000000000006</v>
      </c>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row>
    <row r="89" spans="1:243" s="39" customFormat="1" ht="25.5">
      <c r="A89" s="25">
        <v>4</v>
      </c>
      <c r="B89" s="377" t="s">
        <v>478</v>
      </c>
      <c r="C89" s="75" t="s">
        <v>392</v>
      </c>
      <c r="D89" s="67"/>
      <c r="E89" s="67"/>
      <c r="F89" s="67"/>
      <c r="G89" s="67"/>
      <c r="H89" s="69"/>
      <c r="I89" s="69"/>
      <c r="J89" s="69"/>
      <c r="K89" s="69"/>
      <c r="L89" s="69"/>
      <c r="M89" s="69"/>
      <c r="N89" s="352"/>
      <c r="O89" s="69"/>
      <c r="P89" s="69"/>
      <c r="Q89" s="69"/>
      <c r="R89" s="69"/>
      <c r="S89" s="69"/>
      <c r="T89" s="69"/>
      <c r="U89" s="343">
        <v>19000</v>
      </c>
      <c r="V89" s="343">
        <f>U89</f>
        <v>19000</v>
      </c>
      <c r="W89" s="69"/>
      <c r="X89" s="73">
        <f t="shared" si="4"/>
        <v>247</v>
      </c>
      <c r="Y89" s="69"/>
      <c r="Z89" s="69"/>
      <c r="AA89" s="37" t="s">
        <v>831</v>
      </c>
      <c r="AB89" s="312">
        <v>240</v>
      </c>
      <c r="AC89" s="313">
        <f t="shared" si="9"/>
        <v>7</v>
      </c>
      <c r="AD89" s="36"/>
      <c r="AE89" s="36"/>
      <c r="AF89" s="32">
        <v>231.9</v>
      </c>
      <c r="AG89" s="32">
        <f>V89/100*35</f>
        <v>6650</v>
      </c>
      <c r="AH89" s="33"/>
      <c r="AI89" s="33"/>
      <c r="AJ89" s="33"/>
      <c r="AK89" s="34"/>
      <c r="AL89" s="35">
        <f>+X89-AF89</f>
        <v>15.099999999999994</v>
      </c>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c r="FO89" s="169"/>
      <c r="FP89" s="169"/>
      <c r="FQ89" s="169"/>
      <c r="FR89" s="169"/>
      <c r="FS89" s="169"/>
      <c r="FT89" s="169"/>
      <c r="FU89" s="169"/>
      <c r="FV89" s="169"/>
      <c r="FW89" s="169"/>
      <c r="FX89" s="169"/>
      <c r="FY89" s="169"/>
      <c r="FZ89" s="169"/>
      <c r="GA89" s="169"/>
      <c r="GB89" s="169"/>
      <c r="GC89" s="169"/>
      <c r="GD89" s="169"/>
      <c r="GE89" s="169"/>
      <c r="GF89" s="169"/>
      <c r="GG89" s="169"/>
      <c r="GH89" s="169"/>
      <c r="GI89" s="169"/>
      <c r="GJ89" s="169"/>
      <c r="GK89" s="169"/>
      <c r="GL89" s="169"/>
      <c r="GM89" s="169"/>
      <c r="GN89" s="169"/>
      <c r="GO89" s="169"/>
      <c r="GP89" s="169"/>
      <c r="GQ89" s="169"/>
      <c r="GR89" s="169"/>
      <c r="GS89" s="169"/>
      <c r="GT89" s="169"/>
      <c r="GU89" s="169"/>
      <c r="GV89" s="169"/>
      <c r="GW89" s="169"/>
      <c r="GX89" s="169"/>
      <c r="GY89" s="169"/>
      <c r="GZ89" s="169"/>
      <c r="HA89" s="169"/>
      <c r="HB89" s="169"/>
      <c r="HC89" s="169"/>
      <c r="HD89" s="169"/>
      <c r="HE89" s="169"/>
      <c r="HF89" s="169"/>
      <c r="HG89" s="169"/>
      <c r="HH89" s="169"/>
      <c r="HI89" s="169"/>
      <c r="HJ89" s="169"/>
      <c r="HK89" s="169"/>
      <c r="HL89" s="169"/>
      <c r="HM89" s="169"/>
      <c r="HN89" s="169"/>
      <c r="HO89" s="169"/>
      <c r="HP89" s="169"/>
      <c r="HQ89" s="169"/>
      <c r="HR89" s="169"/>
      <c r="HS89" s="169"/>
      <c r="HT89" s="169"/>
      <c r="HU89" s="169"/>
      <c r="HV89" s="169"/>
      <c r="HW89" s="169"/>
      <c r="HX89" s="169"/>
      <c r="HY89" s="169"/>
      <c r="HZ89" s="169"/>
      <c r="IA89" s="169"/>
      <c r="IB89" s="169"/>
      <c r="IC89" s="169"/>
      <c r="ID89" s="169"/>
      <c r="IE89" s="169"/>
      <c r="IF89" s="169"/>
      <c r="IG89" s="169"/>
      <c r="IH89" s="169"/>
      <c r="II89" s="169"/>
    </row>
    <row r="90" spans="1:243" s="39" customFormat="1" ht="35.25" customHeight="1">
      <c r="A90" s="298">
        <v>5</v>
      </c>
      <c r="B90" s="349" t="s">
        <v>577</v>
      </c>
      <c r="C90" s="75"/>
      <c r="D90" s="67"/>
      <c r="E90" s="67"/>
      <c r="F90" s="67"/>
      <c r="G90" s="67"/>
      <c r="H90" s="69"/>
      <c r="I90" s="69"/>
      <c r="J90" s="69"/>
      <c r="K90" s="69"/>
      <c r="L90" s="69"/>
      <c r="M90" s="69"/>
      <c r="N90" s="352"/>
      <c r="O90" s="69"/>
      <c r="P90" s="69"/>
      <c r="Q90" s="69"/>
      <c r="R90" s="69"/>
      <c r="S90" s="69"/>
      <c r="T90" s="69"/>
      <c r="U90" s="343">
        <v>10000</v>
      </c>
      <c r="V90" s="343">
        <v>10000</v>
      </c>
      <c r="W90" s="69"/>
      <c r="X90" s="73">
        <f t="shared" si="4"/>
        <v>130</v>
      </c>
      <c r="Y90" s="69"/>
      <c r="Z90" s="69"/>
      <c r="AA90" s="37" t="s">
        <v>831</v>
      </c>
      <c r="AB90" s="312">
        <v>126</v>
      </c>
      <c r="AC90" s="313">
        <f t="shared" si="9"/>
        <v>4</v>
      </c>
      <c r="AD90" s="36"/>
      <c r="AE90" s="36"/>
      <c r="AF90" s="32"/>
      <c r="AG90" s="32"/>
      <c r="AH90" s="33"/>
      <c r="AI90" s="33"/>
      <c r="AJ90" s="33"/>
      <c r="AK90" s="34"/>
      <c r="AL90" s="35"/>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69"/>
      <c r="FL90" s="169"/>
      <c r="FM90" s="169"/>
      <c r="FN90" s="169"/>
      <c r="FO90" s="169"/>
      <c r="FP90" s="169"/>
      <c r="FQ90" s="169"/>
      <c r="FR90" s="169"/>
      <c r="FS90" s="169"/>
      <c r="FT90" s="169"/>
      <c r="FU90" s="169"/>
      <c r="FV90" s="169"/>
      <c r="FW90" s="169"/>
      <c r="FX90" s="169"/>
      <c r="FY90" s="169"/>
      <c r="FZ90" s="169"/>
      <c r="GA90" s="169"/>
      <c r="GB90" s="169"/>
      <c r="GC90" s="169"/>
      <c r="GD90" s="169"/>
      <c r="GE90" s="169"/>
      <c r="GF90" s="169"/>
      <c r="GG90" s="169"/>
      <c r="GH90" s="169"/>
      <c r="GI90" s="169"/>
      <c r="GJ90" s="169"/>
      <c r="GK90" s="169"/>
      <c r="GL90" s="169"/>
      <c r="GM90" s="169"/>
      <c r="GN90" s="169"/>
      <c r="GO90" s="169"/>
      <c r="GP90" s="169"/>
      <c r="GQ90" s="169"/>
      <c r="GR90" s="169"/>
      <c r="GS90" s="169"/>
      <c r="GT90" s="169"/>
      <c r="GU90" s="169"/>
      <c r="GV90" s="169"/>
      <c r="GW90" s="169"/>
      <c r="GX90" s="169"/>
      <c r="GY90" s="169"/>
      <c r="GZ90" s="169"/>
      <c r="HA90" s="169"/>
      <c r="HB90" s="169"/>
      <c r="HC90" s="169"/>
      <c r="HD90" s="169"/>
      <c r="HE90" s="169"/>
      <c r="HF90" s="169"/>
      <c r="HG90" s="169"/>
      <c r="HH90" s="169"/>
      <c r="HI90" s="169"/>
      <c r="HJ90" s="169"/>
      <c r="HK90" s="169"/>
      <c r="HL90" s="169"/>
      <c r="HM90" s="169"/>
      <c r="HN90" s="169"/>
      <c r="HO90" s="169"/>
      <c r="HP90" s="169"/>
      <c r="HQ90" s="169"/>
      <c r="HR90" s="169"/>
      <c r="HS90" s="169"/>
      <c r="HT90" s="169"/>
      <c r="HU90" s="169"/>
      <c r="HV90" s="169"/>
      <c r="HW90" s="169"/>
      <c r="HX90" s="169"/>
      <c r="HY90" s="169"/>
      <c r="HZ90" s="169"/>
      <c r="IA90" s="169"/>
      <c r="IB90" s="169"/>
      <c r="IC90" s="169"/>
      <c r="ID90" s="169"/>
      <c r="IE90" s="169"/>
      <c r="IF90" s="169"/>
      <c r="IG90" s="169"/>
      <c r="IH90" s="169"/>
      <c r="II90" s="169"/>
    </row>
    <row r="91" spans="1:243" s="40" customFormat="1" ht="25.5">
      <c r="A91" s="25">
        <v>6</v>
      </c>
      <c r="B91" s="377" t="s">
        <v>190</v>
      </c>
      <c r="C91" s="75" t="s">
        <v>392</v>
      </c>
      <c r="D91" s="26"/>
      <c r="E91" s="26"/>
      <c r="F91" s="26"/>
      <c r="G91" s="26"/>
      <c r="H91" s="71"/>
      <c r="I91" s="71"/>
      <c r="J91" s="71"/>
      <c r="K91" s="71"/>
      <c r="L91" s="71"/>
      <c r="M91" s="71"/>
      <c r="N91" s="353"/>
      <c r="O91" s="71"/>
      <c r="P91" s="71"/>
      <c r="Q91" s="71"/>
      <c r="R91" s="71"/>
      <c r="S91" s="71"/>
      <c r="T91" s="71"/>
      <c r="U91" s="343">
        <v>7000</v>
      </c>
      <c r="V91" s="343">
        <f>U91</f>
        <v>7000</v>
      </c>
      <c r="W91" s="71"/>
      <c r="X91" s="73">
        <f t="shared" si="4"/>
        <v>91</v>
      </c>
      <c r="Y91" s="71"/>
      <c r="Z91" s="71"/>
      <c r="AA91" s="37" t="s">
        <v>831</v>
      </c>
      <c r="AB91" s="312">
        <v>89</v>
      </c>
      <c r="AC91" s="313">
        <f t="shared" si="9"/>
        <v>2</v>
      </c>
      <c r="AD91" s="36">
        <f>X91</f>
        <v>91</v>
      </c>
      <c r="AE91" s="36"/>
      <c r="AF91" s="36">
        <v>108.22</v>
      </c>
      <c r="AG91" s="37">
        <f>V91/100*35</f>
        <v>2450</v>
      </c>
      <c r="AH91" s="37"/>
      <c r="AI91" s="37"/>
      <c r="AJ91" s="37"/>
      <c r="AK91" s="24"/>
      <c r="AL91" s="35">
        <f>+X91-AF91</f>
        <v>-17.22</v>
      </c>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row>
    <row r="92" spans="1:243" s="40" customFormat="1" ht="25.5">
      <c r="A92" s="298">
        <v>7</v>
      </c>
      <c r="B92" s="349" t="s">
        <v>574</v>
      </c>
      <c r="C92" s="75" t="s">
        <v>392</v>
      </c>
      <c r="D92" s="26"/>
      <c r="E92" s="26">
        <f>A92</f>
        <v>7</v>
      </c>
      <c r="F92" s="26"/>
      <c r="G92" s="26" t="s">
        <v>59</v>
      </c>
      <c r="H92" s="71"/>
      <c r="I92" s="71"/>
      <c r="J92" s="71"/>
      <c r="K92" s="71"/>
      <c r="L92" s="71"/>
      <c r="M92" s="71"/>
      <c r="N92" s="353"/>
      <c r="O92" s="71"/>
      <c r="P92" s="71"/>
      <c r="Q92" s="71"/>
      <c r="R92" s="71"/>
      <c r="S92" s="71"/>
      <c r="T92" s="71"/>
      <c r="U92" s="343">
        <v>5000</v>
      </c>
      <c r="V92" s="343">
        <v>5000</v>
      </c>
      <c r="W92" s="71"/>
      <c r="X92" s="73">
        <f t="shared" si="4"/>
        <v>65</v>
      </c>
      <c r="Y92" s="71"/>
      <c r="Z92" s="71"/>
      <c r="AA92" s="37" t="s">
        <v>831</v>
      </c>
      <c r="AB92" s="312">
        <v>63</v>
      </c>
      <c r="AC92" s="313">
        <f t="shared" si="9"/>
        <v>2</v>
      </c>
      <c r="AD92" s="36">
        <f>X92</f>
        <v>65</v>
      </c>
      <c r="AE92" s="36"/>
      <c r="AF92" s="36">
        <v>77.3</v>
      </c>
      <c r="AG92" s="37">
        <f>V92/100*35</f>
        <v>1750</v>
      </c>
      <c r="AH92" s="37"/>
      <c r="AI92" s="37"/>
      <c r="AJ92" s="37"/>
      <c r="AK92" s="24"/>
      <c r="AL92" s="35">
        <f>+X92-AF92</f>
        <v>-12.299999999999997</v>
      </c>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row>
    <row r="93" spans="1:243" s="40" customFormat="1" ht="25.5">
      <c r="A93" s="25">
        <v>8</v>
      </c>
      <c r="B93" s="349" t="s">
        <v>576</v>
      </c>
      <c r="C93" s="75"/>
      <c r="D93" s="26"/>
      <c r="E93" s="26"/>
      <c r="F93" s="26"/>
      <c r="G93" s="26" t="s">
        <v>59</v>
      </c>
      <c r="H93" s="71"/>
      <c r="I93" s="71"/>
      <c r="J93" s="71"/>
      <c r="K93" s="71"/>
      <c r="L93" s="71"/>
      <c r="M93" s="71"/>
      <c r="N93" s="353"/>
      <c r="O93" s="71"/>
      <c r="P93" s="71"/>
      <c r="Q93" s="71"/>
      <c r="R93" s="71"/>
      <c r="S93" s="71"/>
      <c r="T93" s="71"/>
      <c r="U93" s="343">
        <v>12000</v>
      </c>
      <c r="V93" s="343">
        <f>U93</f>
        <v>12000</v>
      </c>
      <c r="W93" s="71"/>
      <c r="X93" s="73">
        <f t="shared" si="4"/>
        <v>156</v>
      </c>
      <c r="Y93" s="71"/>
      <c r="Z93" s="71"/>
      <c r="AA93" s="37" t="s">
        <v>831</v>
      </c>
      <c r="AB93" s="312">
        <v>152</v>
      </c>
      <c r="AC93" s="313">
        <f t="shared" si="9"/>
        <v>4</v>
      </c>
      <c r="AD93" s="36">
        <f>X93</f>
        <v>156</v>
      </c>
      <c r="AE93" s="36"/>
      <c r="AF93" s="36"/>
      <c r="AG93" s="36"/>
      <c r="AH93" s="37"/>
      <c r="AI93" s="37"/>
      <c r="AJ93" s="37"/>
      <c r="AK93" s="24"/>
      <c r="AL93" s="35"/>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row>
    <row r="94" spans="1:243" s="40" customFormat="1" ht="25.5">
      <c r="A94" s="298">
        <v>9</v>
      </c>
      <c r="B94" s="349" t="s">
        <v>736</v>
      </c>
      <c r="C94" s="75"/>
      <c r="D94" s="26"/>
      <c r="E94" s="26"/>
      <c r="F94" s="26"/>
      <c r="G94" s="26"/>
      <c r="H94" s="71"/>
      <c r="I94" s="71"/>
      <c r="J94" s="71"/>
      <c r="K94" s="71"/>
      <c r="L94" s="71"/>
      <c r="M94" s="71"/>
      <c r="N94" s="353"/>
      <c r="O94" s="71"/>
      <c r="P94" s="71"/>
      <c r="Q94" s="71"/>
      <c r="R94" s="71"/>
      <c r="S94" s="71"/>
      <c r="T94" s="71"/>
      <c r="U94" s="343">
        <v>650</v>
      </c>
      <c r="V94" s="343">
        <f>U94</f>
        <v>650</v>
      </c>
      <c r="W94" s="71"/>
      <c r="X94" s="73">
        <f t="shared" si="4"/>
        <v>8</v>
      </c>
      <c r="Y94" s="71"/>
      <c r="Z94" s="71"/>
      <c r="AA94" s="37" t="s">
        <v>831</v>
      </c>
      <c r="AB94" s="312">
        <v>8</v>
      </c>
      <c r="AC94" s="313">
        <f t="shared" si="9"/>
        <v>0</v>
      </c>
      <c r="AD94" s="36"/>
      <c r="AE94" s="36"/>
      <c r="AF94" s="36"/>
      <c r="AG94" s="36"/>
      <c r="AH94" s="37"/>
      <c r="AI94" s="37"/>
      <c r="AJ94" s="37"/>
      <c r="AK94" s="24"/>
      <c r="AL94" s="35"/>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row>
    <row r="95" spans="1:243" s="40" customFormat="1" ht="18.75" customHeight="1">
      <c r="A95" s="67" t="s">
        <v>50</v>
      </c>
      <c r="B95" s="351" t="s">
        <v>46</v>
      </c>
      <c r="C95" s="75"/>
      <c r="D95" s="26"/>
      <c r="E95" s="26"/>
      <c r="F95" s="26"/>
      <c r="G95" s="26"/>
      <c r="H95" s="71"/>
      <c r="I95" s="71"/>
      <c r="J95" s="71"/>
      <c r="K95" s="71"/>
      <c r="L95" s="71"/>
      <c r="M95" s="71"/>
      <c r="N95" s="353"/>
      <c r="O95" s="71"/>
      <c r="P95" s="71"/>
      <c r="Q95" s="71"/>
      <c r="R95" s="71"/>
      <c r="S95" s="71"/>
      <c r="T95" s="71"/>
      <c r="U95" s="71"/>
      <c r="V95" s="71"/>
      <c r="W95" s="71"/>
      <c r="X95" s="73">
        <f t="shared" si="4"/>
        <v>0</v>
      </c>
      <c r="Y95" s="71"/>
      <c r="Z95" s="71"/>
      <c r="AA95" s="37"/>
      <c r="AB95" s="312">
        <v>0</v>
      </c>
      <c r="AC95" s="313">
        <f t="shared" si="9"/>
        <v>0</v>
      </c>
      <c r="AD95" s="36"/>
      <c r="AE95" s="36"/>
      <c r="AF95" s="268">
        <v>0</v>
      </c>
      <c r="AG95" s="267">
        <f>SUM(AG100:AG102)</f>
        <v>17150</v>
      </c>
      <c r="AH95" s="33">
        <f>AH279</f>
        <v>-654.8</v>
      </c>
      <c r="AI95" s="33">
        <f>AG95+AH95</f>
        <v>16495.2</v>
      </c>
      <c r="AJ95" s="33">
        <f>AA279</f>
        <v>21825.60458412928</v>
      </c>
      <c r="AK95" s="34">
        <f>AI95-AJ95</f>
        <v>-5330.404584129279</v>
      </c>
      <c r="AL95" s="35">
        <f aca="true" t="shared" si="10" ref="AL95:AL102">+X95-AF95</f>
        <v>0</v>
      </c>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row>
    <row r="96" spans="1:38" s="263" customFormat="1" ht="25.5">
      <c r="A96" s="76">
        <v>1</v>
      </c>
      <c r="B96" s="348" t="s">
        <v>5</v>
      </c>
      <c r="C96" s="54" t="s">
        <v>78</v>
      </c>
      <c r="D96" s="54"/>
      <c r="E96" s="54"/>
      <c r="F96" s="75"/>
      <c r="G96" s="356"/>
      <c r="H96" s="299"/>
      <c r="I96" s="72"/>
      <c r="J96" s="72"/>
      <c r="K96" s="72"/>
      <c r="L96" s="72"/>
      <c r="M96" s="371"/>
      <c r="N96" s="72"/>
      <c r="O96" s="299"/>
      <c r="P96" s="72"/>
      <c r="Q96" s="371"/>
      <c r="R96" s="371"/>
      <c r="S96" s="72"/>
      <c r="T96" s="371"/>
      <c r="U96" s="343">
        <v>8000</v>
      </c>
      <c r="V96" s="343">
        <f aca="true" t="shared" si="11" ref="V96:V103">U96</f>
        <v>8000</v>
      </c>
      <c r="W96" s="343"/>
      <c r="X96" s="73">
        <f aca="true" t="shared" si="12" ref="X96:X121">ROUND(V96*0.013011,0)</f>
        <v>104</v>
      </c>
      <c r="Y96" s="343"/>
      <c r="Z96" s="343"/>
      <c r="AA96" s="37" t="s">
        <v>832</v>
      </c>
      <c r="AB96" s="312">
        <v>101</v>
      </c>
      <c r="AC96" s="313">
        <f t="shared" si="9"/>
        <v>3</v>
      </c>
      <c r="AD96" s="36"/>
      <c r="AE96" s="36"/>
      <c r="AF96" s="36">
        <v>3000</v>
      </c>
      <c r="AG96" s="37"/>
      <c r="AH96" s="37">
        <f>(V96-X96)/2</f>
        <v>3948</v>
      </c>
      <c r="AI96" s="37"/>
      <c r="AJ96" s="37"/>
      <c r="AK96" s="24">
        <f>X96</f>
        <v>104</v>
      </c>
      <c r="AL96" s="35">
        <f t="shared" si="10"/>
        <v>-2896</v>
      </c>
    </row>
    <row r="97" spans="1:243" s="40" customFormat="1" ht="25.5">
      <c r="A97" s="25">
        <v>2</v>
      </c>
      <c r="B97" s="348" t="s">
        <v>526</v>
      </c>
      <c r="C97" s="75"/>
      <c r="D97" s="26"/>
      <c r="E97" s="26"/>
      <c r="F97" s="26"/>
      <c r="G97" s="26"/>
      <c r="H97" s="71"/>
      <c r="I97" s="71"/>
      <c r="J97" s="71"/>
      <c r="K97" s="71"/>
      <c r="L97" s="71"/>
      <c r="M97" s="71"/>
      <c r="N97" s="353"/>
      <c r="O97" s="71"/>
      <c r="P97" s="71"/>
      <c r="Q97" s="71"/>
      <c r="R97" s="71"/>
      <c r="S97" s="71"/>
      <c r="T97" s="71"/>
      <c r="U97" s="71">
        <v>7000</v>
      </c>
      <c r="V97" s="71">
        <f t="shared" si="11"/>
        <v>7000</v>
      </c>
      <c r="W97" s="71"/>
      <c r="X97" s="73">
        <f t="shared" si="12"/>
        <v>91</v>
      </c>
      <c r="Y97" s="71"/>
      <c r="Z97" s="71"/>
      <c r="AA97" s="37" t="s">
        <v>832</v>
      </c>
      <c r="AB97" s="312">
        <v>89</v>
      </c>
      <c r="AC97" s="313">
        <f t="shared" si="9"/>
        <v>2</v>
      </c>
      <c r="AD97" s="36"/>
      <c r="AE97" s="36"/>
      <c r="AF97" s="36">
        <v>2500</v>
      </c>
      <c r="AG97" s="37"/>
      <c r="AH97" s="37">
        <f>(V97-X97)/2</f>
        <v>3454.5</v>
      </c>
      <c r="AI97" s="37"/>
      <c r="AJ97" s="37"/>
      <c r="AK97" s="24"/>
      <c r="AL97" s="35">
        <f t="shared" si="10"/>
        <v>-2409</v>
      </c>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row>
    <row r="98" spans="1:243" s="40" customFormat="1" ht="25.5">
      <c r="A98" s="76">
        <v>3</v>
      </c>
      <c r="B98" s="348" t="s">
        <v>527</v>
      </c>
      <c r="C98" s="75"/>
      <c r="D98" s="26"/>
      <c r="E98" s="26">
        <f>A98</f>
        <v>3</v>
      </c>
      <c r="F98" s="26"/>
      <c r="G98" s="26"/>
      <c r="H98" s="71"/>
      <c r="I98" s="71"/>
      <c r="J98" s="71"/>
      <c r="K98" s="71"/>
      <c r="L98" s="71"/>
      <c r="M98" s="71"/>
      <c r="N98" s="353"/>
      <c r="O98" s="71"/>
      <c r="P98" s="71"/>
      <c r="Q98" s="71"/>
      <c r="R98" s="71"/>
      <c r="S98" s="71"/>
      <c r="T98" s="71"/>
      <c r="U98" s="71">
        <v>7000</v>
      </c>
      <c r="V98" s="71">
        <f t="shared" si="11"/>
        <v>7000</v>
      </c>
      <c r="W98" s="71"/>
      <c r="X98" s="73">
        <f t="shared" si="12"/>
        <v>91</v>
      </c>
      <c r="Y98" s="71"/>
      <c r="Z98" s="71"/>
      <c r="AA98" s="37" t="s">
        <v>832</v>
      </c>
      <c r="AB98" s="312">
        <v>89</v>
      </c>
      <c r="AC98" s="313">
        <f t="shared" si="9"/>
        <v>2</v>
      </c>
      <c r="AD98" s="36"/>
      <c r="AE98" s="36"/>
      <c r="AF98" s="36">
        <v>2500</v>
      </c>
      <c r="AG98" s="37"/>
      <c r="AH98" s="37">
        <f>(V98-X98)/2</f>
        <v>3454.5</v>
      </c>
      <c r="AI98" s="37"/>
      <c r="AJ98" s="37"/>
      <c r="AK98" s="24"/>
      <c r="AL98" s="35">
        <f t="shared" si="10"/>
        <v>-2409</v>
      </c>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c r="HP98" s="31"/>
      <c r="HQ98" s="31"/>
      <c r="HR98" s="31"/>
      <c r="HS98" s="31"/>
      <c r="HT98" s="31"/>
      <c r="HU98" s="31"/>
      <c r="HV98" s="31"/>
      <c r="HW98" s="31"/>
      <c r="HX98" s="31"/>
      <c r="HY98" s="31"/>
      <c r="HZ98" s="31"/>
      <c r="IA98" s="31"/>
      <c r="IB98" s="31"/>
      <c r="IC98" s="31"/>
      <c r="ID98" s="31"/>
      <c r="IE98" s="31"/>
      <c r="IF98" s="31"/>
      <c r="IG98" s="31"/>
      <c r="IH98" s="31"/>
      <c r="II98" s="31"/>
    </row>
    <row r="99" spans="1:243" s="40" customFormat="1" ht="25.5">
      <c r="A99" s="25">
        <v>4</v>
      </c>
      <c r="B99" s="348" t="s">
        <v>531</v>
      </c>
      <c r="C99" s="75"/>
      <c r="D99" s="26"/>
      <c r="E99" s="26"/>
      <c r="F99" s="26"/>
      <c r="G99" s="26"/>
      <c r="H99" s="71"/>
      <c r="I99" s="71"/>
      <c r="J99" s="71"/>
      <c r="K99" s="71"/>
      <c r="L99" s="71"/>
      <c r="M99" s="71"/>
      <c r="N99" s="353"/>
      <c r="O99" s="71"/>
      <c r="P99" s="71"/>
      <c r="Q99" s="71"/>
      <c r="R99" s="71"/>
      <c r="S99" s="71"/>
      <c r="T99" s="71"/>
      <c r="U99" s="71">
        <v>7500</v>
      </c>
      <c r="V99" s="71">
        <f t="shared" si="11"/>
        <v>7500</v>
      </c>
      <c r="W99" s="71"/>
      <c r="X99" s="73">
        <f t="shared" si="12"/>
        <v>98</v>
      </c>
      <c r="Y99" s="71"/>
      <c r="Z99" s="71"/>
      <c r="AA99" s="37" t="s">
        <v>832</v>
      </c>
      <c r="AB99" s="312">
        <v>95</v>
      </c>
      <c r="AC99" s="313">
        <f t="shared" si="9"/>
        <v>3</v>
      </c>
      <c r="AD99" s="36"/>
      <c r="AE99" s="36"/>
      <c r="AF99" s="36">
        <v>115.95</v>
      </c>
      <c r="AG99" s="32">
        <f>V99/100*35</f>
        <v>2625</v>
      </c>
      <c r="AH99" s="33"/>
      <c r="AI99" s="33"/>
      <c r="AJ99" s="33"/>
      <c r="AK99" s="34"/>
      <c r="AL99" s="35">
        <f t="shared" si="10"/>
        <v>-17.950000000000003</v>
      </c>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c r="HN99" s="31"/>
      <c r="HO99" s="31"/>
      <c r="HP99" s="31"/>
      <c r="HQ99" s="31"/>
      <c r="HR99" s="31"/>
      <c r="HS99" s="31"/>
      <c r="HT99" s="31"/>
      <c r="HU99" s="31"/>
      <c r="HV99" s="31"/>
      <c r="HW99" s="31"/>
      <c r="HX99" s="31"/>
      <c r="HY99" s="31"/>
      <c r="HZ99" s="31"/>
      <c r="IA99" s="31"/>
      <c r="IB99" s="31"/>
      <c r="IC99" s="31"/>
      <c r="ID99" s="31"/>
      <c r="IE99" s="31"/>
      <c r="IF99" s="31"/>
      <c r="IG99" s="31"/>
      <c r="IH99" s="31"/>
      <c r="II99" s="31"/>
    </row>
    <row r="100" spans="1:243" s="40" customFormat="1" ht="63.75">
      <c r="A100" s="76">
        <v>5</v>
      </c>
      <c r="B100" s="209" t="s">
        <v>278</v>
      </c>
      <c r="C100" s="75" t="s">
        <v>78</v>
      </c>
      <c r="D100" s="26"/>
      <c r="E100" s="26"/>
      <c r="F100" s="26"/>
      <c r="G100" s="26"/>
      <c r="H100" s="71"/>
      <c r="I100" s="71"/>
      <c r="J100" s="71"/>
      <c r="K100" s="71"/>
      <c r="L100" s="71"/>
      <c r="M100" s="71"/>
      <c r="N100" s="353"/>
      <c r="O100" s="71"/>
      <c r="P100" s="71"/>
      <c r="Q100" s="71"/>
      <c r="R100" s="71"/>
      <c r="S100" s="71"/>
      <c r="T100" s="71"/>
      <c r="U100" s="71">
        <v>10000</v>
      </c>
      <c r="V100" s="71">
        <f t="shared" si="11"/>
        <v>10000</v>
      </c>
      <c r="W100" s="71"/>
      <c r="X100" s="73">
        <f t="shared" si="12"/>
        <v>130</v>
      </c>
      <c r="Y100" s="71"/>
      <c r="Z100" s="71"/>
      <c r="AA100" s="37" t="s">
        <v>832</v>
      </c>
      <c r="AB100" s="312">
        <v>126</v>
      </c>
      <c r="AC100" s="313">
        <f t="shared" si="9"/>
        <v>4</v>
      </c>
      <c r="AD100" s="36"/>
      <c r="AE100" s="36"/>
      <c r="AF100" s="36">
        <v>154.6</v>
      </c>
      <c r="AG100" s="37">
        <f>V100/100*35</f>
        <v>3500</v>
      </c>
      <c r="AH100" s="37"/>
      <c r="AI100" s="37"/>
      <c r="AJ100" s="37"/>
      <c r="AK100" s="24"/>
      <c r="AL100" s="35">
        <f t="shared" si="10"/>
        <v>-24.599999999999994</v>
      </c>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row>
    <row r="101" spans="1:38" s="263" customFormat="1" ht="25.5">
      <c r="A101" s="25">
        <v>6</v>
      </c>
      <c r="B101" s="209" t="s">
        <v>409</v>
      </c>
      <c r="C101" s="54" t="s">
        <v>78</v>
      </c>
      <c r="D101" s="54"/>
      <c r="E101" s="54"/>
      <c r="F101" s="75"/>
      <c r="G101" s="356"/>
      <c r="H101" s="299"/>
      <c r="I101" s="72"/>
      <c r="J101" s="72"/>
      <c r="K101" s="72"/>
      <c r="L101" s="72"/>
      <c r="M101" s="371"/>
      <c r="N101" s="72"/>
      <c r="O101" s="299"/>
      <c r="P101" s="72"/>
      <c r="Q101" s="371"/>
      <c r="R101" s="371"/>
      <c r="S101" s="72"/>
      <c r="T101" s="371"/>
      <c r="U101" s="343">
        <v>4000</v>
      </c>
      <c r="V101" s="343">
        <f t="shared" si="11"/>
        <v>4000</v>
      </c>
      <c r="W101" s="343"/>
      <c r="X101" s="73">
        <f t="shared" si="12"/>
        <v>52</v>
      </c>
      <c r="Y101" s="343"/>
      <c r="Z101" s="343"/>
      <c r="AA101" s="37" t="s">
        <v>832</v>
      </c>
      <c r="AB101" s="312">
        <v>51</v>
      </c>
      <c r="AC101" s="313">
        <f t="shared" si="9"/>
        <v>1</v>
      </c>
      <c r="AD101" s="36"/>
      <c r="AE101" s="36"/>
      <c r="AF101" s="36">
        <v>61.84</v>
      </c>
      <c r="AG101" s="37">
        <f>V101/100*35</f>
        <v>1400</v>
      </c>
      <c r="AH101" s="37"/>
      <c r="AI101" s="37"/>
      <c r="AJ101" s="37"/>
      <c r="AK101" s="24">
        <f>W101-Y101</f>
        <v>0</v>
      </c>
      <c r="AL101" s="35">
        <f t="shared" si="10"/>
        <v>-9.840000000000003</v>
      </c>
    </row>
    <row r="102" spans="1:243" s="40" customFormat="1" ht="38.25">
      <c r="A102" s="76">
        <v>7</v>
      </c>
      <c r="B102" s="209" t="s">
        <v>538</v>
      </c>
      <c r="C102" s="75"/>
      <c r="D102" s="26"/>
      <c r="E102" s="26">
        <f>A102</f>
        <v>7</v>
      </c>
      <c r="F102" s="26"/>
      <c r="G102" s="26"/>
      <c r="H102" s="71"/>
      <c r="I102" s="71"/>
      <c r="J102" s="71"/>
      <c r="K102" s="71"/>
      <c r="L102" s="71"/>
      <c r="M102" s="71"/>
      <c r="N102" s="353"/>
      <c r="O102" s="71"/>
      <c r="P102" s="71"/>
      <c r="Q102" s="71"/>
      <c r="R102" s="71"/>
      <c r="S102" s="71"/>
      <c r="T102" s="71"/>
      <c r="U102" s="71">
        <v>35000</v>
      </c>
      <c r="V102" s="71">
        <f t="shared" si="11"/>
        <v>35000</v>
      </c>
      <c r="W102" s="71"/>
      <c r="X102" s="73">
        <f t="shared" si="12"/>
        <v>455</v>
      </c>
      <c r="Y102" s="71"/>
      <c r="Z102" s="71"/>
      <c r="AA102" s="37" t="s">
        <v>832</v>
      </c>
      <c r="AB102" s="312">
        <v>443</v>
      </c>
      <c r="AC102" s="313">
        <f t="shared" si="9"/>
        <v>12</v>
      </c>
      <c r="AD102" s="36"/>
      <c r="AE102" s="36"/>
      <c r="AF102" s="36"/>
      <c r="AG102" s="37">
        <f>V102/100*35</f>
        <v>12250</v>
      </c>
      <c r="AH102" s="37"/>
      <c r="AI102" s="37"/>
      <c r="AJ102" s="37"/>
      <c r="AK102" s="24"/>
      <c r="AL102" s="35">
        <f t="shared" si="10"/>
        <v>455</v>
      </c>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row>
    <row r="103" spans="1:243" s="40" customFormat="1" ht="25.5">
      <c r="A103" s="25">
        <v>8</v>
      </c>
      <c r="B103" s="349" t="s">
        <v>738</v>
      </c>
      <c r="C103" s="75"/>
      <c r="D103" s="26"/>
      <c r="E103" s="26"/>
      <c r="F103" s="26"/>
      <c r="G103" s="26"/>
      <c r="H103" s="71"/>
      <c r="I103" s="71"/>
      <c r="J103" s="71"/>
      <c r="K103" s="71"/>
      <c r="L103" s="71"/>
      <c r="M103" s="71"/>
      <c r="N103" s="353"/>
      <c r="O103" s="71"/>
      <c r="P103" s="71"/>
      <c r="Q103" s="71"/>
      <c r="R103" s="71"/>
      <c r="S103" s="71"/>
      <c r="T103" s="71"/>
      <c r="U103" s="343">
        <v>650</v>
      </c>
      <c r="V103" s="343">
        <f t="shared" si="11"/>
        <v>650</v>
      </c>
      <c r="W103" s="71"/>
      <c r="X103" s="73">
        <f t="shared" si="12"/>
        <v>8</v>
      </c>
      <c r="Y103" s="71"/>
      <c r="Z103" s="71"/>
      <c r="AA103" s="37" t="s">
        <v>832</v>
      </c>
      <c r="AB103" s="312">
        <v>8</v>
      </c>
      <c r="AC103" s="313">
        <f t="shared" si="9"/>
        <v>0</v>
      </c>
      <c r="AD103" s="36"/>
      <c r="AE103" s="36"/>
      <c r="AF103" s="36"/>
      <c r="AG103" s="36"/>
      <c r="AH103" s="37"/>
      <c r="AI103" s="37"/>
      <c r="AJ103" s="37"/>
      <c r="AK103" s="24"/>
      <c r="AL103" s="35"/>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row>
    <row r="104" spans="1:243" s="40" customFormat="1" ht="21" customHeight="1">
      <c r="A104" s="67" t="s">
        <v>51</v>
      </c>
      <c r="B104" s="351" t="s">
        <v>360</v>
      </c>
      <c r="C104" s="75"/>
      <c r="D104" s="26"/>
      <c r="E104" s="26"/>
      <c r="F104" s="26"/>
      <c r="G104" s="26"/>
      <c r="H104" s="71"/>
      <c r="I104" s="71"/>
      <c r="J104" s="71"/>
      <c r="K104" s="71"/>
      <c r="L104" s="71"/>
      <c r="M104" s="71"/>
      <c r="N104" s="353"/>
      <c r="O104" s="71"/>
      <c r="P104" s="71"/>
      <c r="Q104" s="71"/>
      <c r="R104" s="71"/>
      <c r="S104" s="71"/>
      <c r="T104" s="71"/>
      <c r="U104" s="71"/>
      <c r="V104" s="71"/>
      <c r="W104" s="71"/>
      <c r="X104" s="73">
        <f t="shared" si="12"/>
        <v>0</v>
      </c>
      <c r="Y104" s="71"/>
      <c r="Z104" s="71"/>
      <c r="AA104" s="37"/>
      <c r="AB104" s="312">
        <v>0</v>
      </c>
      <c r="AC104" s="313">
        <f t="shared" si="9"/>
        <v>0</v>
      </c>
      <c r="AD104" s="36"/>
      <c r="AE104" s="36"/>
      <c r="AF104" s="36">
        <v>0</v>
      </c>
      <c r="AG104" s="267">
        <f>SUM(AG105:AG108)</f>
        <v>20825</v>
      </c>
      <c r="AH104" s="33">
        <f>AH294+10000</f>
        <v>15000</v>
      </c>
      <c r="AI104" s="33">
        <f>AG104+AH104</f>
        <v>35825</v>
      </c>
      <c r="AJ104" s="33">
        <f>AA294</f>
        <v>29486.603190697995</v>
      </c>
      <c r="AK104" s="34">
        <f>AI104-AJ104</f>
        <v>6338.396809302005</v>
      </c>
      <c r="AL104" s="35">
        <f>+X104-AF104</f>
        <v>0</v>
      </c>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row>
    <row r="105" spans="1:243" s="40" customFormat="1" ht="25.5">
      <c r="A105" s="26">
        <v>1</v>
      </c>
      <c r="B105" s="346" t="s">
        <v>411</v>
      </c>
      <c r="C105" s="75" t="s">
        <v>393</v>
      </c>
      <c r="D105" s="26"/>
      <c r="E105" s="26"/>
      <c r="F105" s="26"/>
      <c r="G105" s="26"/>
      <c r="H105" s="71"/>
      <c r="I105" s="71"/>
      <c r="J105" s="71"/>
      <c r="K105" s="71"/>
      <c r="L105" s="71"/>
      <c r="M105" s="71"/>
      <c r="N105" s="353"/>
      <c r="O105" s="71"/>
      <c r="P105" s="71"/>
      <c r="Q105" s="71"/>
      <c r="R105" s="71"/>
      <c r="S105" s="71"/>
      <c r="T105" s="71"/>
      <c r="U105" s="71">
        <v>40000</v>
      </c>
      <c r="V105" s="71">
        <f>U105</f>
        <v>40000</v>
      </c>
      <c r="W105" s="71"/>
      <c r="X105" s="73">
        <f t="shared" si="12"/>
        <v>520</v>
      </c>
      <c r="Y105" s="71"/>
      <c r="Z105" s="71"/>
      <c r="AA105" s="37" t="s">
        <v>833</v>
      </c>
      <c r="AB105" s="312">
        <v>506</v>
      </c>
      <c r="AC105" s="313">
        <f t="shared" si="9"/>
        <v>14</v>
      </c>
      <c r="AD105" s="36"/>
      <c r="AE105" s="36"/>
      <c r="AF105" s="36">
        <v>618.4</v>
      </c>
      <c r="AG105" s="37">
        <f>V105/100*35</f>
        <v>14000</v>
      </c>
      <c r="AH105" s="37"/>
      <c r="AI105" s="37"/>
      <c r="AJ105" s="37"/>
      <c r="AK105" s="24"/>
      <c r="AL105" s="35">
        <f>+X105-AF105</f>
        <v>-98.39999999999998</v>
      </c>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row>
    <row r="106" spans="1:243" s="40" customFormat="1" ht="25.5">
      <c r="A106" s="25">
        <v>2</v>
      </c>
      <c r="B106" s="346" t="s">
        <v>192</v>
      </c>
      <c r="C106" s="75" t="s">
        <v>393</v>
      </c>
      <c r="D106" s="26"/>
      <c r="E106" s="26"/>
      <c r="F106" s="26"/>
      <c r="G106" s="26" t="s">
        <v>59</v>
      </c>
      <c r="H106" s="71"/>
      <c r="I106" s="71"/>
      <c r="J106" s="71"/>
      <c r="K106" s="71"/>
      <c r="L106" s="71"/>
      <c r="M106" s="71"/>
      <c r="N106" s="353"/>
      <c r="O106" s="71"/>
      <c r="P106" s="71"/>
      <c r="Q106" s="71"/>
      <c r="R106" s="71"/>
      <c r="S106" s="71"/>
      <c r="T106" s="71"/>
      <c r="U106" s="343">
        <v>8000</v>
      </c>
      <c r="V106" s="343">
        <v>8000</v>
      </c>
      <c r="W106" s="71"/>
      <c r="X106" s="73">
        <f t="shared" si="12"/>
        <v>104</v>
      </c>
      <c r="Y106" s="71"/>
      <c r="Z106" s="71"/>
      <c r="AA106" s="37" t="s">
        <v>833</v>
      </c>
      <c r="AB106" s="312">
        <v>101</v>
      </c>
      <c r="AC106" s="313">
        <f t="shared" si="9"/>
        <v>3</v>
      </c>
      <c r="AD106" s="36"/>
      <c r="AE106" s="36"/>
      <c r="AF106" s="36">
        <v>123.68</v>
      </c>
      <c r="AG106" s="37">
        <f>V106/100*35</f>
        <v>2800</v>
      </c>
      <c r="AH106" s="37"/>
      <c r="AI106" s="37"/>
      <c r="AJ106" s="37"/>
      <c r="AK106" s="24"/>
      <c r="AL106" s="35">
        <f>+X106-AF106</f>
        <v>-19.680000000000007</v>
      </c>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row>
    <row r="107" spans="1:38" s="41" customFormat="1" ht="51">
      <c r="A107" s="26">
        <v>3</v>
      </c>
      <c r="B107" s="364" t="s">
        <v>804</v>
      </c>
      <c r="C107" s="26" t="s">
        <v>237</v>
      </c>
      <c r="D107" s="75"/>
      <c r="E107" s="75"/>
      <c r="F107" s="75"/>
      <c r="G107" s="378"/>
      <c r="H107" s="350"/>
      <c r="I107" s="72"/>
      <c r="J107" s="379"/>
      <c r="K107" s="350"/>
      <c r="L107" s="72"/>
      <c r="M107" s="380"/>
      <c r="N107" s="380"/>
      <c r="O107" s="380"/>
      <c r="P107" s="380"/>
      <c r="Q107" s="380"/>
      <c r="R107" s="380"/>
      <c r="S107" s="72"/>
      <c r="T107" s="72"/>
      <c r="U107" s="350">
        <v>10000</v>
      </c>
      <c r="V107" s="343">
        <f>U107</f>
        <v>10000</v>
      </c>
      <c r="W107" s="343"/>
      <c r="X107" s="73">
        <f t="shared" si="12"/>
        <v>130</v>
      </c>
      <c r="Y107" s="343"/>
      <c r="Z107" s="343"/>
      <c r="AA107" s="37" t="s">
        <v>834</v>
      </c>
      <c r="AB107" s="312">
        <v>126</v>
      </c>
      <c r="AC107" s="313">
        <f t="shared" si="9"/>
        <v>4</v>
      </c>
      <c r="AD107" s="36"/>
      <c r="AE107" s="36"/>
      <c r="AF107" s="36">
        <v>77.3</v>
      </c>
      <c r="AG107" s="37">
        <f>V107/100*35</f>
        <v>3500</v>
      </c>
      <c r="AH107" s="37"/>
      <c r="AI107" s="37"/>
      <c r="AJ107" s="37"/>
      <c r="AK107" s="24">
        <f>X107</f>
        <v>130</v>
      </c>
      <c r="AL107" s="35">
        <f>+X107-AF107</f>
        <v>52.7</v>
      </c>
    </row>
    <row r="108" spans="1:38" s="263" customFormat="1" ht="25.5">
      <c r="A108" s="25">
        <v>4</v>
      </c>
      <c r="B108" s="349" t="s">
        <v>351</v>
      </c>
      <c r="C108" s="26" t="s">
        <v>237</v>
      </c>
      <c r="D108" s="54"/>
      <c r="E108" s="54"/>
      <c r="F108" s="75"/>
      <c r="G108" s="356"/>
      <c r="H108" s="299"/>
      <c r="I108" s="72"/>
      <c r="J108" s="72"/>
      <c r="K108" s="72"/>
      <c r="L108" s="72"/>
      <c r="M108" s="371"/>
      <c r="N108" s="72"/>
      <c r="O108" s="299"/>
      <c r="P108" s="72"/>
      <c r="Q108" s="371"/>
      <c r="R108" s="371"/>
      <c r="S108" s="72"/>
      <c r="T108" s="371"/>
      <c r="U108" s="343">
        <v>1500</v>
      </c>
      <c r="V108" s="343">
        <v>1500</v>
      </c>
      <c r="W108" s="343"/>
      <c r="X108" s="73">
        <f t="shared" si="12"/>
        <v>20</v>
      </c>
      <c r="Y108" s="343"/>
      <c r="Z108" s="343"/>
      <c r="AA108" s="37" t="s">
        <v>833</v>
      </c>
      <c r="AB108" s="312">
        <v>19</v>
      </c>
      <c r="AC108" s="313">
        <f t="shared" si="9"/>
        <v>1</v>
      </c>
      <c r="AD108" s="36"/>
      <c r="AE108" s="36"/>
      <c r="AF108" s="36">
        <v>23.19</v>
      </c>
      <c r="AG108" s="37">
        <f>V108/100*35</f>
        <v>525</v>
      </c>
      <c r="AH108" s="37"/>
      <c r="AI108" s="37"/>
      <c r="AJ108" s="37"/>
      <c r="AK108" s="24">
        <f>X108</f>
        <v>20</v>
      </c>
      <c r="AL108" s="35">
        <f>+X108-AF108</f>
        <v>-3.1900000000000013</v>
      </c>
    </row>
    <row r="109" spans="1:38" s="263" customFormat="1" ht="25.5">
      <c r="A109" s="26">
        <v>5</v>
      </c>
      <c r="B109" s="349" t="s">
        <v>869</v>
      </c>
      <c r="C109" s="26"/>
      <c r="D109" s="54"/>
      <c r="E109" s="54"/>
      <c r="F109" s="75"/>
      <c r="G109" s="356"/>
      <c r="H109" s="299"/>
      <c r="I109" s="72"/>
      <c r="J109" s="72"/>
      <c r="K109" s="72"/>
      <c r="L109" s="72"/>
      <c r="M109" s="371"/>
      <c r="N109" s="72"/>
      <c r="O109" s="299"/>
      <c r="P109" s="72"/>
      <c r="Q109" s="371"/>
      <c r="R109" s="371"/>
      <c r="S109" s="72"/>
      <c r="T109" s="371"/>
      <c r="U109" s="343">
        <f>V109</f>
        <v>12588</v>
      </c>
      <c r="V109" s="343">
        <v>12588</v>
      </c>
      <c r="W109" s="343"/>
      <c r="X109" s="73">
        <f t="shared" si="12"/>
        <v>164</v>
      </c>
      <c r="Y109" s="343"/>
      <c r="Z109" s="343"/>
      <c r="AA109" s="37" t="s">
        <v>833</v>
      </c>
      <c r="AB109" s="312">
        <v>159</v>
      </c>
      <c r="AC109" s="313">
        <f t="shared" si="9"/>
        <v>5</v>
      </c>
      <c r="AD109" s="36">
        <f>X109</f>
        <v>164</v>
      </c>
      <c r="AE109" s="36"/>
      <c r="AF109" s="36"/>
      <c r="AG109" s="36"/>
      <c r="AH109" s="37"/>
      <c r="AI109" s="37"/>
      <c r="AJ109" s="37"/>
      <c r="AK109" s="24"/>
      <c r="AL109" s="35"/>
    </row>
    <row r="110" spans="1:243" s="40" customFormat="1" ht="28.5" customHeight="1">
      <c r="A110" s="25">
        <v>6</v>
      </c>
      <c r="B110" s="348" t="s">
        <v>805</v>
      </c>
      <c r="C110" s="75"/>
      <c r="D110" s="26"/>
      <c r="E110" s="26"/>
      <c r="F110" s="26"/>
      <c r="G110" s="26"/>
      <c r="H110" s="71"/>
      <c r="I110" s="71"/>
      <c r="J110" s="71"/>
      <c r="K110" s="71"/>
      <c r="L110" s="71"/>
      <c r="M110" s="71"/>
      <c r="N110" s="353"/>
      <c r="O110" s="71"/>
      <c r="P110" s="71"/>
      <c r="Q110" s="71"/>
      <c r="R110" s="71"/>
      <c r="S110" s="71"/>
      <c r="T110" s="71"/>
      <c r="U110" s="343">
        <f>V110</f>
        <v>14603</v>
      </c>
      <c r="V110" s="343">
        <v>14603</v>
      </c>
      <c r="W110" s="71"/>
      <c r="X110" s="73">
        <f t="shared" si="12"/>
        <v>190</v>
      </c>
      <c r="Y110" s="71"/>
      <c r="Z110" s="71"/>
      <c r="AA110" s="37" t="s">
        <v>822</v>
      </c>
      <c r="AB110" s="312">
        <v>185</v>
      </c>
      <c r="AC110" s="313">
        <f t="shared" si="9"/>
        <v>5</v>
      </c>
      <c r="AD110" s="36"/>
      <c r="AE110" s="36"/>
      <c r="AF110" s="36"/>
      <c r="AG110" s="36"/>
      <c r="AH110" s="37"/>
      <c r="AI110" s="37"/>
      <c r="AJ110" s="37"/>
      <c r="AK110" s="24"/>
      <c r="AL110" s="35"/>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row>
    <row r="111" spans="1:38" s="35" customFormat="1" ht="27" customHeight="1">
      <c r="A111" s="45" t="s">
        <v>52</v>
      </c>
      <c r="B111" s="34" t="s">
        <v>485</v>
      </c>
      <c r="C111" s="67"/>
      <c r="D111" s="67"/>
      <c r="E111" s="67"/>
      <c r="F111" s="67"/>
      <c r="G111" s="67"/>
      <c r="H111" s="69"/>
      <c r="I111" s="69"/>
      <c r="J111" s="69"/>
      <c r="K111" s="69"/>
      <c r="L111" s="69"/>
      <c r="M111" s="69"/>
      <c r="N111" s="69"/>
      <c r="O111" s="69"/>
      <c r="P111" s="69"/>
      <c r="Q111" s="70"/>
      <c r="R111" s="69"/>
      <c r="S111" s="69"/>
      <c r="T111" s="69"/>
      <c r="U111" s="68"/>
      <c r="V111" s="68"/>
      <c r="W111" s="68"/>
      <c r="X111" s="73">
        <f t="shared" si="12"/>
        <v>0</v>
      </c>
      <c r="Y111" s="68"/>
      <c r="Z111" s="68"/>
      <c r="AA111" s="33"/>
      <c r="AB111" s="312">
        <v>0</v>
      </c>
      <c r="AC111" s="313">
        <f t="shared" si="9"/>
        <v>0</v>
      </c>
      <c r="AD111" s="32"/>
      <c r="AE111" s="32"/>
      <c r="AF111" s="267">
        <v>0</v>
      </c>
      <c r="AG111" s="267">
        <f>SUM(AG115:AG115)</f>
        <v>0</v>
      </c>
      <c r="AH111" s="33">
        <f>AH308</f>
        <v>23395</v>
      </c>
      <c r="AI111" s="33">
        <f>AG111+AH111</f>
        <v>23395</v>
      </c>
      <c r="AJ111" s="33">
        <f>AA308</f>
        <v>30115</v>
      </c>
      <c r="AK111" s="34">
        <f>AI111-AJ111</f>
        <v>-6720</v>
      </c>
      <c r="AL111" s="35">
        <f>+X111-AF111</f>
        <v>0</v>
      </c>
    </row>
    <row r="112" spans="1:38" s="263" customFormat="1" ht="42" customHeight="1">
      <c r="A112" s="76">
        <v>1</v>
      </c>
      <c r="B112" s="359" t="s">
        <v>969</v>
      </c>
      <c r="C112" s="54" t="s">
        <v>66</v>
      </c>
      <c r="D112" s="54"/>
      <c r="E112" s="54"/>
      <c r="F112" s="75"/>
      <c r="G112" s="356"/>
      <c r="H112" s="299"/>
      <c r="I112" s="371"/>
      <c r="J112" s="72"/>
      <c r="K112" s="72"/>
      <c r="L112" s="72"/>
      <c r="M112" s="299"/>
      <c r="N112" s="72"/>
      <c r="O112" s="371"/>
      <c r="P112" s="72"/>
      <c r="Q112" s="72"/>
      <c r="R112" s="72"/>
      <c r="S112" s="72"/>
      <c r="T112" s="72"/>
      <c r="U112" s="299">
        <v>7000</v>
      </c>
      <c r="V112" s="371">
        <f>+U112</f>
        <v>7000</v>
      </c>
      <c r="W112" s="343"/>
      <c r="X112" s="73">
        <f t="shared" si="12"/>
        <v>91</v>
      </c>
      <c r="Y112" s="343"/>
      <c r="Z112" s="343"/>
      <c r="AA112" s="37" t="s">
        <v>835</v>
      </c>
      <c r="AB112" s="312">
        <v>89</v>
      </c>
      <c r="AC112" s="313">
        <f t="shared" si="9"/>
        <v>2</v>
      </c>
      <c r="AD112" s="36"/>
      <c r="AE112" s="36">
        <v>21395</v>
      </c>
      <c r="AF112" s="36"/>
      <c r="AG112" s="37"/>
      <c r="AH112" s="37"/>
      <c r="AI112" s="37"/>
      <c r="AJ112" s="37"/>
      <c r="AK112" s="24"/>
      <c r="AL112" s="38"/>
    </row>
    <row r="113" spans="1:38" s="263" customFormat="1" ht="38.25">
      <c r="A113" s="76">
        <v>2</v>
      </c>
      <c r="B113" s="359" t="s">
        <v>968</v>
      </c>
      <c r="C113" s="54" t="s">
        <v>66</v>
      </c>
      <c r="D113" s="54"/>
      <c r="E113" s="54"/>
      <c r="F113" s="75"/>
      <c r="G113" s="356"/>
      <c r="H113" s="299"/>
      <c r="I113" s="371"/>
      <c r="J113" s="72"/>
      <c r="K113" s="72"/>
      <c r="L113" s="72"/>
      <c r="M113" s="299"/>
      <c r="N113" s="72"/>
      <c r="O113" s="371"/>
      <c r="P113" s="72"/>
      <c r="Q113" s="72"/>
      <c r="R113" s="72"/>
      <c r="S113" s="72"/>
      <c r="T113" s="72"/>
      <c r="U113" s="299">
        <v>7000</v>
      </c>
      <c r="V113" s="371">
        <f>+U113</f>
        <v>7000</v>
      </c>
      <c r="W113" s="343"/>
      <c r="X113" s="73">
        <f t="shared" si="12"/>
        <v>91</v>
      </c>
      <c r="Y113" s="343"/>
      <c r="Z113" s="343"/>
      <c r="AA113" s="37" t="s">
        <v>835</v>
      </c>
      <c r="AB113" s="312">
        <v>89</v>
      </c>
      <c r="AC113" s="313">
        <f>+X113-AB113</f>
        <v>2</v>
      </c>
      <c r="AD113" s="36"/>
      <c r="AE113" s="36">
        <v>21395</v>
      </c>
      <c r="AF113" s="36"/>
      <c r="AG113" s="37"/>
      <c r="AH113" s="37"/>
      <c r="AI113" s="37"/>
      <c r="AJ113" s="37"/>
      <c r="AK113" s="24"/>
      <c r="AL113" s="38"/>
    </row>
    <row r="114" spans="1:38" s="263" customFormat="1" ht="51">
      <c r="A114" s="76">
        <v>3</v>
      </c>
      <c r="B114" s="348" t="s">
        <v>970</v>
      </c>
      <c r="C114" s="54"/>
      <c r="D114" s="54"/>
      <c r="E114" s="54"/>
      <c r="F114" s="75"/>
      <c r="G114" s="356"/>
      <c r="H114" s="299"/>
      <c r="I114" s="371"/>
      <c r="J114" s="72"/>
      <c r="K114" s="72"/>
      <c r="L114" s="72"/>
      <c r="M114" s="299"/>
      <c r="N114" s="72"/>
      <c r="O114" s="371"/>
      <c r="P114" s="72"/>
      <c r="Q114" s="72"/>
      <c r="R114" s="72"/>
      <c r="S114" s="72"/>
      <c r="T114" s="72"/>
      <c r="U114" s="299">
        <v>6500</v>
      </c>
      <c r="V114" s="371">
        <f>U114</f>
        <v>6500</v>
      </c>
      <c r="W114" s="343"/>
      <c r="X114" s="73">
        <f t="shared" si="12"/>
        <v>85</v>
      </c>
      <c r="Y114" s="343"/>
      <c r="Z114" s="343"/>
      <c r="AA114" s="37"/>
      <c r="AB114" s="312"/>
      <c r="AC114" s="313"/>
      <c r="AD114" s="36"/>
      <c r="AE114" s="36"/>
      <c r="AF114" s="36"/>
      <c r="AG114" s="37"/>
      <c r="AH114" s="37"/>
      <c r="AI114" s="37"/>
      <c r="AJ114" s="37"/>
      <c r="AK114" s="24"/>
      <c r="AL114" s="35"/>
    </row>
    <row r="115" spans="1:38" s="263" customFormat="1" ht="25.5">
      <c r="A115" s="76">
        <v>4</v>
      </c>
      <c r="B115" s="359" t="s">
        <v>836</v>
      </c>
      <c r="C115" s="54"/>
      <c r="D115" s="54"/>
      <c r="E115" s="54"/>
      <c r="F115" s="75"/>
      <c r="G115" s="356"/>
      <c r="H115" s="299"/>
      <c r="I115" s="371"/>
      <c r="J115" s="72"/>
      <c r="K115" s="72"/>
      <c r="L115" s="72"/>
      <c r="M115" s="299"/>
      <c r="N115" s="72"/>
      <c r="O115" s="371"/>
      <c r="P115" s="72"/>
      <c r="Q115" s="72"/>
      <c r="R115" s="72"/>
      <c r="S115" s="72"/>
      <c r="T115" s="72"/>
      <c r="U115" s="299">
        <f>V115</f>
        <v>1200</v>
      </c>
      <c r="V115" s="371">
        <v>1200</v>
      </c>
      <c r="W115" s="343"/>
      <c r="X115" s="73">
        <f t="shared" si="12"/>
        <v>16</v>
      </c>
      <c r="Y115" s="343"/>
      <c r="Z115" s="343"/>
      <c r="AA115" s="37" t="s">
        <v>837</v>
      </c>
      <c r="AB115" s="312">
        <v>15</v>
      </c>
      <c r="AC115" s="313">
        <f t="shared" si="9"/>
        <v>1</v>
      </c>
      <c r="AD115" s="36"/>
      <c r="AE115" s="36">
        <f>AE112+V112+V317+V115</f>
        <v>31595</v>
      </c>
      <c r="AF115" s="36"/>
      <c r="AG115" s="37"/>
      <c r="AH115" s="37"/>
      <c r="AI115" s="37"/>
      <c r="AJ115" s="37"/>
      <c r="AK115" s="24"/>
      <c r="AL115" s="38"/>
    </row>
    <row r="116" spans="1:38" s="35" customFormat="1" ht="27" customHeight="1">
      <c r="A116" s="45" t="s">
        <v>789</v>
      </c>
      <c r="B116" s="34" t="s">
        <v>486</v>
      </c>
      <c r="C116" s="67"/>
      <c r="D116" s="67"/>
      <c r="E116" s="67"/>
      <c r="F116" s="67"/>
      <c r="G116" s="67"/>
      <c r="H116" s="69"/>
      <c r="I116" s="69"/>
      <c r="J116" s="69"/>
      <c r="K116" s="69"/>
      <c r="L116" s="69"/>
      <c r="M116" s="69"/>
      <c r="N116" s="69"/>
      <c r="O116" s="69"/>
      <c r="P116" s="69"/>
      <c r="Q116" s="70"/>
      <c r="R116" s="69"/>
      <c r="S116" s="69"/>
      <c r="T116" s="69"/>
      <c r="U116" s="68"/>
      <c r="V116" s="68"/>
      <c r="W116" s="68"/>
      <c r="X116" s="73">
        <f t="shared" si="12"/>
        <v>0</v>
      </c>
      <c r="Y116" s="68"/>
      <c r="Z116" s="68"/>
      <c r="AA116" s="33"/>
      <c r="AB116" s="312">
        <v>0</v>
      </c>
      <c r="AC116" s="313">
        <f t="shared" si="9"/>
        <v>0</v>
      </c>
      <c r="AD116" s="32"/>
      <c r="AE116" s="32"/>
      <c r="AF116" s="267">
        <v>0</v>
      </c>
      <c r="AG116" s="267" t="e">
        <f>#REF!+AG117</f>
        <v>#REF!</v>
      </c>
      <c r="AH116" s="33">
        <f>AH319</f>
        <v>0</v>
      </c>
      <c r="AI116" s="33" t="e">
        <f>AG116+AH116</f>
        <v>#REF!</v>
      </c>
      <c r="AJ116" s="33">
        <f>10000</f>
        <v>10000</v>
      </c>
      <c r="AK116" s="34" t="e">
        <f>AI116-AJ116</f>
        <v>#REF!</v>
      </c>
      <c r="AL116" s="35">
        <f>+X116-AF116</f>
        <v>0</v>
      </c>
    </row>
    <row r="117" spans="1:38" s="38" customFormat="1" ht="63.75">
      <c r="A117" s="13">
        <v>1</v>
      </c>
      <c r="B117" s="349" t="s">
        <v>870</v>
      </c>
      <c r="C117" s="26" t="s">
        <v>289</v>
      </c>
      <c r="D117" s="26"/>
      <c r="E117" s="26">
        <f>A117</f>
        <v>1</v>
      </c>
      <c r="F117" s="26">
        <f>A117</f>
        <v>1</v>
      </c>
      <c r="G117" s="26"/>
      <c r="H117" s="71"/>
      <c r="I117" s="71"/>
      <c r="J117" s="71"/>
      <c r="K117" s="71"/>
      <c r="L117" s="71"/>
      <c r="M117" s="71"/>
      <c r="N117" s="71"/>
      <c r="O117" s="71"/>
      <c r="P117" s="71"/>
      <c r="Q117" s="72"/>
      <c r="R117" s="71"/>
      <c r="S117" s="71"/>
      <c r="T117" s="71"/>
      <c r="U117" s="343">
        <v>25000</v>
      </c>
      <c r="V117" s="73">
        <f>U117</f>
        <v>25000</v>
      </c>
      <c r="W117" s="73"/>
      <c r="X117" s="73">
        <f t="shared" si="12"/>
        <v>325</v>
      </c>
      <c r="Y117" s="73"/>
      <c r="Z117" s="73"/>
      <c r="AA117" s="37" t="s">
        <v>838</v>
      </c>
      <c r="AB117" s="312">
        <v>316</v>
      </c>
      <c r="AC117" s="313">
        <f aca="true" t="shared" si="13" ref="AC117:AC133">+X117-AB117</f>
        <v>9</v>
      </c>
      <c r="AD117" s="36"/>
      <c r="AE117" s="36"/>
      <c r="AF117" s="36">
        <v>30.92</v>
      </c>
      <c r="AG117" s="37">
        <f>V117/100*35</f>
        <v>8750</v>
      </c>
      <c r="AH117" s="37"/>
      <c r="AI117" s="37"/>
      <c r="AJ117" s="37"/>
      <c r="AK117" s="24"/>
      <c r="AL117" s="35">
        <f>+X117-AF117</f>
        <v>294.08</v>
      </c>
    </row>
    <row r="118" spans="1:38" s="35" customFormat="1" ht="22.5" customHeight="1">
      <c r="A118" s="45" t="s">
        <v>329</v>
      </c>
      <c r="B118" s="34" t="s">
        <v>492</v>
      </c>
      <c r="C118" s="67"/>
      <c r="D118" s="67"/>
      <c r="E118" s="67"/>
      <c r="F118" s="67"/>
      <c r="G118" s="67"/>
      <c r="H118" s="69"/>
      <c r="I118" s="69"/>
      <c r="J118" s="69"/>
      <c r="K118" s="69"/>
      <c r="L118" s="69"/>
      <c r="M118" s="69"/>
      <c r="N118" s="69"/>
      <c r="O118" s="69"/>
      <c r="P118" s="69"/>
      <c r="Q118" s="70"/>
      <c r="R118" s="69"/>
      <c r="S118" s="69"/>
      <c r="T118" s="69"/>
      <c r="U118" s="68"/>
      <c r="V118" s="68"/>
      <c r="W118" s="68"/>
      <c r="X118" s="73">
        <f t="shared" si="12"/>
        <v>0</v>
      </c>
      <c r="Y118" s="68" t="s">
        <v>59</v>
      </c>
      <c r="Z118" s="68"/>
      <c r="AA118" s="33"/>
      <c r="AB118" s="312">
        <v>0</v>
      </c>
      <c r="AC118" s="313">
        <f t="shared" si="13"/>
        <v>0</v>
      </c>
      <c r="AD118" s="32"/>
      <c r="AE118" s="32"/>
      <c r="AF118" s="267">
        <v>0</v>
      </c>
      <c r="AG118" s="267">
        <f>AG121</f>
        <v>8015</v>
      </c>
      <c r="AH118" s="33">
        <f>AH323</f>
        <v>54002</v>
      </c>
      <c r="AI118" s="33">
        <f>AG118+AH118</f>
        <v>62017</v>
      </c>
      <c r="AJ118" s="33">
        <f>AA323</f>
        <v>120460</v>
      </c>
      <c r="AK118" s="34">
        <f>AI118-AJ118</f>
        <v>-58443</v>
      </c>
      <c r="AL118" s="35">
        <f>+X118-AF118</f>
        <v>0</v>
      </c>
    </row>
    <row r="119" spans="1:243" s="40" customFormat="1" ht="38.25">
      <c r="A119" s="76">
        <v>1</v>
      </c>
      <c r="B119" s="381" t="s">
        <v>353</v>
      </c>
      <c r="C119" s="26" t="s">
        <v>289</v>
      </c>
      <c r="D119" s="26"/>
      <c r="E119" s="26"/>
      <c r="F119" s="75"/>
      <c r="G119" s="75"/>
      <c r="H119" s="71"/>
      <c r="I119" s="71"/>
      <c r="J119" s="71"/>
      <c r="K119" s="71"/>
      <c r="L119" s="71"/>
      <c r="M119" s="71"/>
      <c r="N119" s="71"/>
      <c r="O119" s="71"/>
      <c r="P119" s="71"/>
      <c r="Q119" s="71"/>
      <c r="R119" s="71"/>
      <c r="S119" s="71"/>
      <c r="T119" s="71"/>
      <c r="U119" s="71">
        <v>26700</v>
      </c>
      <c r="V119" s="71">
        <f>U119</f>
        <v>26700</v>
      </c>
      <c r="W119" s="71"/>
      <c r="X119" s="73">
        <f t="shared" si="12"/>
        <v>347</v>
      </c>
      <c r="Y119" s="71" t="s">
        <v>59</v>
      </c>
      <c r="Z119" s="71"/>
      <c r="AA119" s="13" t="s">
        <v>839</v>
      </c>
      <c r="AB119" s="312">
        <v>338</v>
      </c>
      <c r="AC119" s="313">
        <f t="shared" si="13"/>
        <v>9</v>
      </c>
      <c r="AD119" s="42"/>
      <c r="AE119" s="42"/>
      <c r="AF119" s="42">
        <v>9345</v>
      </c>
      <c r="AG119" s="13"/>
      <c r="AH119" s="37">
        <f>(V119-X119)/2</f>
        <v>13176.5</v>
      </c>
      <c r="AI119" s="37"/>
      <c r="AJ119" s="37"/>
      <c r="AK119" s="24">
        <f>X119</f>
        <v>347</v>
      </c>
      <c r="AL119" s="35">
        <f>+X119-AF119</f>
        <v>-8998</v>
      </c>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row>
    <row r="120" spans="1:243" s="40" customFormat="1" ht="25.5">
      <c r="A120" s="76">
        <v>2</v>
      </c>
      <c r="B120" s="359" t="s">
        <v>735</v>
      </c>
      <c r="C120" s="26"/>
      <c r="D120" s="26"/>
      <c r="E120" s="26"/>
      <c r="F120" s="75"/>
      <c r="G120" s="75"/>
      <c r="H120" s="71"/>
      <c r="I120" s="71"/>
      <c r="J120" s="71"/>
      <c r="K120" s="71"/>
      <c r="L120" s="71"/>
      <c r="M120" s="71"/>
      <c r="N120" s="71"/>
      <c r="O120" s="71"/>
      <c r="P120" s="71"/>
      <c r="Q120" s="71"/>
      <c r="R120" s="71"/>
      <c r="S120" s="71"/>
      <c r="T120" s="71"/>
      <c r="U120" s="71">
        <v>15000</v>
      </c>
      <c r="V120" s="71">
        <f>U120</f>
        <v>15000</v>
      </c>
      <c r="W120" s="71"/>
      <c r="X120" s="73">
        <f t="shared" si="12"/>
        <v>195</v>
      </c>
      <c r="Y120" s="71"/>
      <c r="Z120" s="71"/>
      <c r="AA120" s="13" t="s">
        <v>840</v>
      </c>
      <c r="AB120" s="312">
        <v>190</v>
      </c>
      <c r="AC120" s="313">
        <f t="shared" si="13"/>
        <v>5</v>
      </c>
      <c r="AD120" s="42"/>
      <c r="AE120" s="42"/>
      <c r="AF120" s="42"/>
      <c r="AG120" s="13"/>
      <c r="AH120" s="37"/>
      <c r="AI120" s="37"/>
      <c r="AJ120" s="37"/>
      <c r="AK120" s="24"/>
      <c r="AL120" s="35"/>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row>
    <row r="121" spans="1:38" s="38" customFormat="1" ht="25.5">
      <c r="A121" s="13">
        <v>3</v>
      </c>
      <c r="B121" s="24" t="s">
        <v>481</v>
      </c>
      <c r="C121" s="26" t="s">
        <v>289</v>
      </c>
      <c r="D121" s="26"/>
      <c r="E121" s="26"/>
      <c r="F121" s="26"/>
      <c r="G121" s="26">
        <v>119</v>
      </c>
      <c r="H121" s="71"/>
      <c r="I121" s="71"/>
      <c r="J121" s="71"/>
      <c r="K121" s="71"/>
      <c r="L121" s="71"/>
      <c r="M121" s="71"/>
      <c r="N121" s="71"/>
      <c r="O121" s="71"/>
      <c r="P121" s="71"/>
      <c r="Q121" s="72"/>
      <c r="R121" s="71"/>
      <c r="S121" s="71"/>
      <c r="T121" s="71"/>
      <c r="U121" s="73">
        <v>22900</v>
      </c>
      <c r="V121" s="73">
        <f>U121</f>
        <v>22900</v>
      </c>
      <c r="W121" s="73"/>
      <c r="X121" s="73">
        <f t="shared" si="12"/>
        <v>298</v>
      </c>
      <c r="Y121" s="73"/>
      <c r="Z121" s="73"/>
      <c r="AA121" s="37" t="s">
        <v>841</v>
      </c>
      <c r="AB121" s="312">
        <v>290</v>
      </c>
      <c r="AC121" s="313">
        <f t="shared" si="13"/>
        <v>8</v>
      </c>
      <c r="AD121" s="36">
        <f>X121</f>
        <v>298</v>
      </c>
      <c r="AE121" s="36"/>
      <c r="AF121" s="36">
        <v>354.034</v>
      </c>
      <c r="AG121" s="37">
        <f>V121/100*35</f>
        <v>8015</v>
      </c>
      <c r="AH121" s="37"/>
      <c r="AI121" s="37"/>
      <c r="AJ121" s="37"/>
      <c r="AK121" s="24"/>
      <c r="AL121" s="35">
        <f aca="true" t="shared" si="14" ref="AL121:AL133">+X121-AF121</f>
        <v>-56.03399999999999</v>
      </c>
    </row>
    <row r="122" spans="1:38" s="169" customFormat="1" ht="19.5" customHeight="1">
      <c r="A122" s="45" t="s">
        <v>502</v>
      </c>
      <c r="B122" s="34" t="s">
        <v>324</v>
      </c>
      <c r="C122" s="26"/>
      <c r="D122" s="67"/>
      <c r="E122" s="26">
        <f>SUM(E31:E108)</f>
        <v>58</v>
      </c>
      <c r="F122" s="26"/>
      <c r="G122" s="67">
        <f>A135+A159+A180+A201+A221+A261+A277+A292+A301+A306</f>
        <v>164</v>
      </c>
      <c r="H122" s="68">
        <f aca="true" t="shared" si="15" ref="H122:Z122">H123+H137+H161+H182+H203+H223+H263+H279+H294+H303+H308+H319+H323+H369</f>
        <v>6630079.165</v>
      </c>
      <c r="I122" s="68">
        <f t="shared" si="15"/>
        <v>1557988.06</v>
      </c>
      <c r="J122" s="68">
        <f t="shared" si="15"/>
        <v>52592</v>
      </c>
      <c r="K122" s="68">
        <f t="shared" si="15"/>
        <v>719605.7</v>
      </c>
      <c r="L122" s="68">
        <f t="shared" si="15"/>
        <v>503236.1</v>
      </c>
      <c r="M122" s="68" t="e">
        <f t="shared" si="15"/>
        <v>#REF!</v>
      </c>
      <c r="N122" s="68" t="e">
        <f t="shared" si="15"/>
        <v>#REF!</v>
      </c>
      <c r="O122" s="68">
        <f t="shared" si="15"/>
        <v>2708894.386</v>
      </c>
      <c r="P122" s="68">
        <f t="shared" si="15"/>
        <v>410953.9</v>
      </c>
      <c r="Q122" s="68">
        <f t="shared" si="15"/>
        <v>487463</v>
      </c>
      <c r="R122" s="68">
        <f t="shared" si="15"/>
        <v>126349.154</v>
      </c>
      <c r="S122" s="68">
        <f t="shared" si="15"/>
        <v>3861.154</v>
      </c>
      <c r="T122" s="68" t="e">
        <f t="shared" si="15"/>
        <v>#VALUE!</v>
      </c>
      <c r="U122" s="68">
        <f t="shared" si="15"/>
        <v>2027585.17220833</v>
      </c>
      <c r="V122" s="68">
        <f t="shared" si="15"/>
        <v>1031837.564</v>
      </c>
      <c r="W122" s="68">
        <f t="shared" si="15"/>
        <v>330668.51020833006</v>
      </c>
      <c r="X122" s="68">
        <f t="shared" si="15"/>
        <v>494604.10862933</v>
      </c>
      <c r="Y122" s="68">
        <f t="shared" si="15"/>
        <v>279707.85662933</v>
      </c>
      <c r="Z122" s="68">
        <f t="shared" si="15"/>
        <v>9360</v>
      </c>
      <c r="AA122" s="33">
        <f>X123-AA123</f>
        <v>0.10055747869773768</v>
      </c>
      <c r="AB122" s="310">
        <v>494603.08062933007</v>
      </c>
      <c r="AC122" s="311">
        <f t="shared" si="13"/>
        <v>1.0279999999329448</v>
      </c>
      <c r="AD122" s="32"/>
      <c r="AE122" s="32"/>
      <c r="AF122" s="32">
        <v>403589.455</v>
      </c>
      <c r="AG122" s="33"/>
      <c r="AH122" s="33"/>
      <c r="AI122" s="33"/>
      <c r="AJ122" s="33"/>
      <c r="AK122" s="24">
        <f>AK182+AK223+AK279+AK294+AK303+AK319</f>
        <v>11135.506011317624</v>
      </c>
      <c r="AL122" s="35">
        <f t="shared" si="14"/>
        <v>91014.65362932999</v>
      </c>
    </row>
    <row r="123" spans="1:38" s="273" customFormat="1" ht="23.25" customHeight="1">
      <c r="A123" s="382" t="s">
        <v>41</v>
      </c>
      <c r="B123" s="351" t="s">
        <v>352</v>
      </c>
      <c r="C123" s="54"/>
      <c r="D123" s="361"/>
      <c r="E123" s="361"/>
      <c r="F123" s="361"/>
      <c r="G123" s="614">
        <f>G122-G121-5</f>
        <v>40</v>
      </c>
      <c r="H123" s="275">
        <f aca="true" t="shared" si="16" ref="H123:Y123">SUM(H124:H135)</f>
        <v>293300</v>
      </c>
      <c r="I123" s="275">
        <f t="shared" si="16"/>
        <v>122172</v>
      </c>
      <c r="J123" s="275">
        <f t="shared" si="16"/>
        <v>0</v>
      </c>
      <c r="K123" s="275">
        <f t="shared" si="16"/>
        <v>74900</v>
      </c>
      <c r="L123" s="275">
        <f t="shared" si="16"/>
        <v>28900</v>
      </c>
      <c r="M123" s="275">
        <f t="shared" si="16"/>
        <v>98384.8</v>
      </c>
      <c r="N123" s="275">
        <f t="shared" si="16"/>
        <v>56784</v>
      </c>
      <c r="O123" s="275">
        <f t="shared" si="16"/>
        <v>114788.8</v>
      </c>
      <c r="P123" s="275">
        <f t="shared" si="16"/>
        <v>35614</v>
      </c>
      <c r="Q123" s="275">
        <f t="shared" si="16"/>
        <v>89375</v>
      </c>
      <c r="R123" s="275">
        <f t="shared" si="16"/>
        <v>7000</v>
      </c>
      <c r="S123" s="275">
        <f t="shared" si="16"/>
        <v>0</v>
      </c>
      <c r="T123" s="275">
        <f t="shared" si="16"/>
        <v>0</v>
      </c>
      <c r="U123" s="275">
        <f t="shared" si="16"/>
        <v>89244</v>
      </c>
      <c r="V123" s="275">
        <f t="shared" si="16"/>
        <v>78564</v>
      </c>
      <c r="W123" s="275">
        <f t="shared" si="16"/>
        <v>8637</v>
      </c>
      <c r="X123" s="275">
        <f t="shared" si="16"/>
        <v>43085</v>
      </c>
      <c r="Y123" s="275">
        <f t="shared" si="16"/>
        <v>8637</v>
      </c>
      <c r="Z123" s="275"/>
      <c r="AA123" s="33">
        <v>43084.8994425213</v>
      </c>
      <c r="AB123" s="316">
        <v>43085</v>
      </c>
      <c r="AC123" s="317">
        <f t="shared" si="13"/>
        <v>0</v>
      </c>
      <c r="AD123" s="32"/>
      <c r="AE123" s="32"/>
      <c r="AF123" s="274">
        <v>30968</v>
      </c>
      <c r="AG123" s="33"/>
      <c r="AH123" s="275">
        <f>SUM(AH124:AH372)</f>
        <v>383347.96581</v>
      </c>
      <c r="AI123" s="33">
        <f>X123-AH123</f>
        <v>-340262.96581</v>
      </c>
      <c r="AJ123" s="33"/>
      <c r="AK123" s="24" t="e">
        <f>#REF!+#REF!+#REF!+AK196+#REF!+#REF!+AK299+#REF!+AK306</f>
        <v>#REF!</v>
      </c>
      <c r="AL123" s="35">
        <f t="shared" si="14"/>
        <v>12117</v>
      </c>
    </row>
    <row r="124" spans="1:38" s="41" customFormat="1" ht="38.25">
      <c r="A124" s="76">
        <v>1</v>
      </c>
      <c r="B124" s="295" t="s">
        <v>166</v>
      </c>
      <c r="C124" s="54" t="s">
        <v>289</v>
      </c>
      <c r="D124" s="54"/>
      <c r="E124" s="54"/>
      <c r="F124" s="54"/>
      <c r="G124" s="356" t="s">
        <v>167</v>
      </c>
      <c r="H124" s="299">
        <v>7000</v>
      </c>
      <c r="I124" s="371">
        <f>H124</f>
        <v>7000</v>
      </c>
      <c r="J124" s="72"/>
      <c r="K124" s="72"/>
      <c r="L124" s="72"/>
      <c r="M124" s="72">
        <v>5795</v>
      </c>
      <c r="N124" s="72"/>
      <c r="O124" s="72">
        <v>5795</v>
      </c>
      <c r="P124" s="72">
        <f>O124</f>
        <v>5795</v>
      </c>
      <c r="Q124" s="299">
        <v>500</v>
      </c>
      <c r="R124" s="299"/>
      <c r="S124" s="72"/>
      <c r="T124" s="72"/>
      <c r="U124" s="343">
        <v>430</v>
      </c>
      <c r="V124" s="343">
        <f>U124</f>
        <v>430</v>
      </c>
      <c r="W124" s="343">
        <f>V124</f>
        <v>430</v>
      </c>
      <c r="X124" s="343">
        <v>430</v>
      </c>
      <c r="Y124" s="343">
        <f>X124</f>
        <v>430</v>
      </c>
      <c r="Z124" s="343"/>
      <c r="AA124" s="37" t="s">
        <v>801</v>
      </c>
      <c r="AB124" s="163">
        <v>430</v>
      </c>
      <c r="AC124" s="314">
        <f t="shared" si="13"/>
        <v>0</v>
      </c>
      <c r="AD124" s="36"/>
      <c r="AE124" s="36"/>
      <c r="AF124" s="36">
        <v>705</v>
      </c>
      <c r="AG124" s="37"/>
      <c r="AH124" s="37">
        <f aca="true" t="shared" si="17" ref="AH124:AH133">V124-X124</f>
        <v>0</v>
      </c>
      <c r="AI124" s="37"/>
      <c r="AJ124" s="37"/>
      <c r="AK124" s="24">
        <f>W124-Y124</f>
        <v>0</v>
      </c>
      <c r="AL124" s="35">
        <f t="shared" si="14"/>
        <v>-275</v>
      </c>
    </row>
    <row r="125" spans="1:38" s="273" customFormat="1" ht="41.25" customHeight="1">
      <c r="A125" s="298">
        <v>2</v>
      </c>
      <c r="B125" s="295" t="s">
        <v>137</v>
      </c>
      <c r="C125" s="54" t="s">
        <v>289</v>
      </c>
      <c r="D125" s="361"/>
      <c r="E125" s="361"/>
      <c r="F125" s="361"/>
      <c r="G125" s="356" t="s">
        <v>138</v>
      </c>
      <c r="H125" s="299">
        <v>10000</v>
      </c>
      <c r="I125" s="371">
        <f>H125</f>
        <v>10000</v>
      </c>
      <c r="J125" s="70"/>
      <c r="K125" s="70"/>
      <c r="L125" s="70"/>
      <c r="M125" s="299">
        <v>4737</v>
      </c>
      <c r="N125" s="70"/>
      <c r="O125" s="299">
        <v>4737</v>
      </c>
      <c r="P125" s="371">
        <f>O125</f>
        <v>4737</v>
      </c>
      <c r="Q125" s="72">
        <v>1300</v>
      </c>
      <c r="R125" s="72"/>
      <c r="S125" s="72"/>
      <c r="T125" s="72"/>
      <c r="U125" s="343">
        <v>3900</v>
      </c>
      <c r="V125" s="343">
        <v>3900</v>
      </c>
      <c r="W125" s="343">
        <v>3900</v>
      </c>
      <c r="X125" s="343">
        <v>3900</v>
      </c>
      <c r="Y125" s="343">
        <f>X125</f>
        <v>3900</v>
      </c>
      <c r="Z125" s="343"/>
      <c r="AA125" s="37" t="s">
        <v>364</v>
      </c>
      <c r="AB125" s="163">
        <v>3900</v>
      </c>
      <c r="AC125" s="314">
        <f t="shared" si="13"/>
        <v>0</v>
      </c>
      <c r="AD125" s="36"/>
      <c r="AE125" s="36"/>
      <c r="AF125" s="36">
        <v>3900</v>
      </c>
      <c r="AG125" s="37"/>
      <c r="AH125" s="37">
        <f t="shared" si="17"/>
        <v>0</v>
      </c>
      <c r="AI125" s="37"/>
      <c r="AJ125" s="37"/>
      <c r="AK125" s="24"/>
      <c r="AL125" s="35">
        <f t="shared" si="14"/>
        <v>0</v>
      </c>
    </row>
    <row r="126" spans="1:45" s="169" customFormat="1" ht="38.25">
      <c r="A126" s="76">
        <v>3</v>
      </c>
      <c r="B126" s="295" t="s">
        <v>397</v>
      </c>
      <c r="C126" s="54" t="s">
        <v>289</v>
      </c>
      <c r="D126" s="383"/>
      <c r="E126" s="383"/>
      <c r="F126" s="361"/>
      <c r="G126" s="356" t="s">
        <v>147</v>
      </c>
      <c r="H126" s="299">
        <v>14500</v>
      </c>
      <c r="I126" s="301">
        <f>H126</f>
        <v>14500</v>
      </c>
      <c r="J126" s="257"/>
      <c r="K126" s="301"/>
      <c r="L126" s="301"/>
      <c r="M126" s="301">
        <v>8100</v>
      </c>
      <c r="N126" s="301"/>
      <c r="O126" s="301">
        <v>8100</v>
      </c>
      <c r="P126" s="301">
        <f>O126</f>
        <v>8100</v>
      </c>
      <c r="Q126" s="301">
        <v>2495</v>
      </c>
      <c r="R126" s="301"/>
      <c r="S126" s="257"/>
      <c r="T126" s="257"/>
      <c r="U126" s="301">
        <v>3905</v>
      </c>
      <c r="V126" s="301">
        <v>3905</v>
      </c>
      <c r="W126" s="301">
        <v>3079</v>
      </c>
      <c r="X126" s="301">
        <v>3900</v>
      </c>
      <c r="Y126" s="301">
        <f>W126</f>
        <v>3079</v>
      </c>
      <c r="Z126" s="301">
        <f>Y126</f>
        <v>3079</v>
      </c>
      <c r="AA126" s="37" t="s">
        <v>364</v>
      </c>
      <c r="AB126" s="164">
        <v>3900</v>
      </c>
      <c r="AC126" s="164">
        <f t="shared" si="13"/>
        <v>0</v>
      </c>
      <c r="AD126" s="36">
        <f>X126</f>
        <v>3900</v>
      </c>
      <c r="AE126" s="36"/>
      <c r="AF126" s="36">
        <v>3900</v>
      </c>
      <c r="AG126" s="37"/>
      <c r="AH126" s="37">
        <f t="shared" si="17"/>
        <v>5</v>
      </c>
      <c r="AI126" s="37"/>
      <c r="AJ126" s="37"/>
      <c r="AK126" s="24">
        <f>W126-Y126</f>
        <v>0</v>
      </c>
      <c r="AL126" s="35">
        <f t="shared" si="14"/>
        <v>0</v>
      </c>
      <c r="AM126" s="276"/>
      <c r="AN126" s="167"/>
      <c r="AO126" s="168"/>
      <c r="AP126" s="168"/>
      <c r="AR126" s="170"/>
      <c r="AS126" s="170"/>
    </row>
    <row r="127" spans="1:45" s="169" customFormat="1" ht="38.25">
      <c r="A127" s="298">
        <v>4</v>
      </c>
      <c r="B127" s="295" t="s">
        <v>290</v>
      </c>
      <c r="C127" s="54" t="s">
        <v>289</v>
      </c>
      <c r="D127" s="296"/>
      <c r="E127" s="296"/>
      <c r="F127" s="54"/>
      <c r="G127" s="298" t="s">
        <v>291</v>
      </c>
      <c r="H127" s="299">
        <v>15883</v>
      </c>
      <c r="I127" s="371">
        <f>H127</f>
        <v>15883</v>
      </c>
      <c r="J127" s="257"/>
      <c r="K127" s="301"/>
      <c r="L127" s="301"/>
      <c r="M127" s="301">
        <v>15058</v>
      </c>
      <c r="N127" s="301"/>
      <c r="O127" s="301">
        <v>13382</v>
      </c>
      <c r="P127" s="301">
        <f>O127</f>
        <v>13382</v>
      </c>
      <c r="Q127" s="301"/>
      <c r="R127" s="301"/>
      <c r="S127" s="257"/>
      <c r="T127" s="257"/>
      <c r="U127" s="301">
        <v>2500</v>
      </c>
      <c r="V127" s="301">
        <f aca="true" t="shared" si="18" ref="V127:V133">U127</f>
        <v>2500</v>
      </c>
      <c r="W127" s="301"/>
      <c r="X127" s="301">
        <f>V127</f>
        <v>2500</v>
      </c>
      <c r="Y127" s="301"/>
      <c r="Z127" s="301">
        <f>X127</f>
        <v>2500</v>
      </c>
      <c r="AA127" s="37" t="s">
        <v>364</v>
      </c>
      <c r="AB127" s="164">
        <v>2500</v>
      </c>
      <c r="AC127" s="164">
        <f t="shared" si="13"/>
        <v>0</v>
      </c>
      <c r="AD127" s="36">
        <f>X127</f>
        <v>2500</v>
      </c>
      <c r="AE127" s="36"/>
      <c r="AF127" s="36">
        <v>2500</v>
      </c>
      <c r="AG127" s="37"/>
      <c r="AH127" s="37">
        <f t="shared" si="17"/>
        <v>0</v>
      </c>
      <c r="AI127" s="37"/>
      <c r="AJ127" s="37"/>
      <c r="AK127" s="24"/>
      <c r="AL127" s="35">
        <f t="shared" si="14"/>
        <v>0</v>
      </c>
      <c r="AM127" s="166"/>
      <c r="AN127" s="167"/>
      <c r="AO127" s="168"/>
      <c r="AP127" s="168"/>
      <c r="AR127" s="170"/>
      <c r="AS127" s="170"/>
    </row>
    <row r="128" spans="1:38" s="263" customFormat="1" ht="40.5" customHeight="1">
      <c r="A128" s="76">
        <v>5</v>
      </c>
      <c r="B128" s="359" t="s">
        <v>177</v>
      </c>
      <c r="C128" s="54" t="s">
        <v>289</v>
      </c>
      <c r="D128" s="54"/>
      <c r="E128" s="54"/>
      <c r="F128" s="54"/>
      <c r="G128" s="356" t="s">
        <v>178</v>
      </c>
      <c r="H128" s="299">
        <v>11200</v>
      </c>
      <c r="I128" s="72">
        <f>3300+1800</f>
        <v>5100</v>
      </c>
      <c r="J128" s="72"/>
      <c r="K128" s="72"/>
      <c r="L128" s="72"/>
      <c r="M128" s="72">
        <f>4200+1900</f>
        <v>6100</v>
      </c>
      <c r="N128" s="72"/>
      <c r="O128" s="72">
        <f>4200+1900</f>
        <v>6100</v>
      </c>
      <c r="P128" s="72"/>
      <c r="Q128" s="72">
        <v>1800</v>
      </c>
      <c r="R128" s="72"/>
      <c r="S128" s="72"/>
      <c r="T128" s="72"/>
      <c r="U128" s="343">
        <f>H128-M128-Q128</f>
        <v>3300</v>
      </c>
      <c r="V128" s="343">
        <f>U128</f>
        <v>3300</v>
      </c>
      <c r="W128" s="343"/>
      <c r="X128" s="343">
        <f>V128</f>
        <v>3300</v>
      </c>
      <c r="Y128" s="343"/>
      <c r="Z128" s="343"/>
      <c r="AA128" s="37" t="s">
        <v>364</v>
      </c>
      <c r="AB128" s="163">
        <v>3300</v>
      </c>
      <c r="AC128" s="314">
        <f>+X128-AB128</f>
        <v>0</v>
      </c>
      <c r="AD128" s="36"/>
      <c r="AE128" s="36"/>
      <c r="AF128" s="36">
        <v>3300</v>
      </c>
      <c r="AG128" s="37"/>
      <c r="AH128" s="37">
        <f>V128-X128</f>
        <v>0</v>
      </c>
      <c r="AI128" s="37"/>
      <c r="AJ128" s="37"/>
      <c r="AK128" s="24"/>
      <c r="AL128" s="35">
        <f>+X128-AF128</f>
        <v>0</v>
      </c>
    </row>
    <row r="129" spans="1:45" s="169" customFormat="1" ht="51">
      <c r="A129" s="298">
        <v>6</v>
      </c>
      <c r="B129" s="295" t="s">
        <v>292</v>
      </c>
      <c r="C129" s="54" t="s">
        <v>289</v>
      </c>
      <c r="D129" s="296"/>
      <c r="E129" s="296"/>
      <c r="F129" s="54"/>
      <c r="G129" s="298" t="s">
        <v>293</v>
      </c>
      <c r="H129" s="299">
        <v>4412</v>
      </c>
      <c r="I129" s="371">
        <v>1228</v>
      </c>
      <c r="J129" s="257"/>
      <c r="K129" s="301"/>
      <c r="L129" s="301"/>
      <c r="M129" s="301">
        <v>1810.8</v>
      </c>
      <c r="N129" s="301"/>
      <c r="O129" s="301">
        <v>1810.8</v>
      </c>
      <c r="P129" s="301"/>
      <c r="Q129" s="301">
        <v>100</v>
      </c>
      <c r="R129" s="301"/>
      <c r="S129" s="257"/>
      <c r="T129" s="257"/>
      <c r="U129" s="384">
        <v>1228</v>
      </c>
      <c r="V129" s="384">
        <f t="shared" si="18"/>
        <v>1228</v>
      </c>
      <c r="W129" s="384">
        <f>V129</f>
        <v>1228</v>
      </c>
      <c r="X129" s="384">
        <f>W129</f>
        <v>1228</v>
      </c>
      <c r="Y129" s="384">
        <f>X129</f>
        <v>1228</v>
      </c>
      <c r="Z129" s="301">
        <f>X129</f>
        <v>1228</v>
      </c>
      <c r="AA129" s="37" t="s">
        <v>364</v>
      </c>
      <c r="AB129" s="318">
        <v>1228</v>
      </c>
      <c r="AC129" s="318">
        <f t="shared" si="13"/>
        <v>0</v>
      </c>
      <c r="AD129" s="36">
        <f>X129</f>
        <v>1228</v>
      </c>
      <c r="AE129" s="36"/>
      <c r="AF129" s="36">
        <v>1220</v>
      </c>
      <c r="AG129" s="37"/>
      <c r="AH129" s="37">
        <f t="shared" si="17"/>
        <v>0</v>
      </c>
      <c r="AI129" s="37"/>
      <c r="AJ129" s="37"/>
      <c r="AK129" s="24">
        <f>W129-Y129</f>
        <v>0</v>
      </c>
      <c r="AL129" s="35">
        <f t="shared" si="14"/>
        <v>8</v>
      </c>
      <c r="AM129" s="166"/>
      <c r="AN129" s="167"/>
      <c r="AO129" s="168"/>
      <c r="AP129" s="168"/>
      <c r="AR129" s="170"/>
      <c r="AS129" s="170"/>
    </row>
    <row r="130" spans="1:38" s="273" customFormat="1" ht="30.75" customHeight="1">
      <c r="A130" s="76">
        <v>7</v>
      </c>
      <c r="B130" s="349" t="s">
        <v>139</v>
      </c>
      <c r="C130" s="54" t="s">
        <v>289</v>
      </c>
      <c r="D130" s="361"/>
      <c r="E130" s="361"/>
      <c r="F130" s="361"/>
      <c r="G130" s="356" t="s">
        <v>140</v>
      </c>
      <c r="H130" s="299">
        <v>20340</v>
      </c>
      <c r="I130" s="72">
        <v>12000</v>
      </c>
      <c r="J130" s="70"/>
      <c r="K130" s="70"/>
      <c r="L130" s="70"/>
      <c r="M130" s="72">
        <v>5000</v>
      </c>
      <c r="N130" s="72">
        <v>5000</v>
      </c>
      <c r="O130" s="72">
        <v>5000</v>
      </c>
      <c r="P130" s="70"/>
      <c r="Q130" s="299">
        <f>R130+1400</f>
        <v>8400</v>
      </c>
      <c r="R130" s="299">
        <v>7000</v>
      </c>
      <c r="S130" s="72"/>
      <c r="T130" s="72"/>
      <c r="U130" s="343">
        <f>H130-M130-Q130</f>
        <v>6940</v>
      </c>
      <c r="V130" s="343">
        <f t="shared" si="18"/>
        <v>6940</v>
      </c>
      <c r="W130" s="343"/>
      <c r="X130" s="343">
        <v>5000</v>
      </c>
      <c r="Y130" s="343"/>
      <c r="Z130" s="343"/>
      <c r="AA130" s="37" t="s">
        <v>364</v>
      </c>
      <c r="AB130" s="163">
        <v>6940</v>
      </c>
      <c r="AC130" s="314">
        <f t="shared" si="13"/>
        <v>-1940</v>
      </c>
      <c r="AD130" s="36"/>
      <c r="AE130" s="36"/>
      <c r="AF130" s="36">
        <v>6940</v>
      </c>
      <c r="AG130" s="37"/>
      <c r="AH130" s="37">
        <f t="shared" si="17"/>
        <v>1940</v>
      </c>
      <c r="AI130" s="37"/>
      <c r="AJ130" s="37"/>
      <c r="AK130" s="24"/>
      <c r="AL130" s="35">
        <f t="shared" si="14"/>
        <v>-1940</v>
      </c>
    </row>
    <row r="131" spans="1:38" s="41" customFormat="1" ht="51">
      <c r="A131" s="298">
        <v>8</v>
      </c>
      <c r="B131" s="381" t="s">
        <v>141</v>
      </c>
      <c r="C131" s="54" t="s">
        <v>289</v>
      </c>
      <c r="D131" s="54" t="s">
        <v>142</v>
      </c>
      <c r="E131" s="54"/>
      <c r="F131" s="54" t="s">
        <v>143</v>
      </c>
      <c r="G131" s="75" t="s">
        <v>144</v>
      </c>
      <c r="H131" s="72">
        <v>72000</v>
      </c>
      <c r="I131" s="72">
        <v>26000</v>
      </c>
      <c r="J131" s="385" t="s">
        <v>259</v>
      </c>
      <c r="K131" s="72">
        <v>74900</v>
      </c>
      <c r="L131" s="72">
        <f>I131+2900</f>
        <v>28900</v>
      </c>
      <c r="M131" s="72">
        <v>48184</v>
      </c>
      <c r="N131" s="72">
        <v>48184</v>
      </c>
      <c r="O131" s="72">
        <v>48184</v>
      </c>
      <c r="P131" s="72"/>
      <c r="Q131" s="72"/>
      <c r="R131" s="72"/>
      <c r="S131" s="72"/>
      <c r="T131" s="72"/>
      <c r="U131" s="343">
        <v>26000</v>
      </c>
      <c r="V131" s="343">
        <f t="shared" si="18"/>
        <v>26000</v>
      </c>
      <c r="W131" s="343"/>
      <c r="X131" s="343">
        <f>7887-500-60</f>
        <v>7327</v>
      </c>
      <c r="Y131" s="343"/>
      <c r="Z131" s="343"/>
      <c r="AA131" s="37" t="s">
        <v>145</v>
      </c>
      <c r="AB131" s="163">
        <v>7387</v>
      </c>
      <c r="AC131" s="314">
        <f t="shared" si="13"/>
        <v>-60</v>
      </c>
      <c r="AD131" s="36"/>
      <c r="AE131" s="36"/>
      <c r="AF131" s="36">
        <v>6653</v>
      </c>
      <c r="AG131" s="37"/>
      <c r="AH131" s="37">
        <f t="shared" si="17"/>
        <v>18673</v>
      </c>
      <c r="AI131" s="37"/>
      <c r="AJ131" s="37"/>
      <c r="AK131" s="24">
        <f>W131-Y131</f>
        <v>0</v>
      </c>
      <c r="AL131" s="35">
        <f t="shared" si="14"/>
        <v>674</v>
      </c>
    </row>
    <row r="132" spans="1:38" s="41" customFormat="1" ht="61.5" customHeight="1">
      <c r="A132" s="76">
        <v>9</v>
      </c>
      <c r="B132" s="348" t="s">
        <v>816</v>
      </c>
      <c r="C132" s="75"/>
      <c r="D132" s="54"/>
      <c r="E132" s="54"/>
      <c r="F132" s="54"/>
      <c r="G132" s="356" t="s">
        <v>817</v>
      </c>
      <c r="H132" s="299">
        <v>105540</v>
      </c>
      <c r="I132" s="299">
        <v>2000</v>
      </c>
      <c r="J132" s="299"/>
      <c r="K132" s="299"/>
      <c r="L132" s="299"/>
      <c r="M132" s="299"/>
      <c r="N132" s="299"/>
      <c r="O132" s="299">
        <v>18080</v>
      </c>
      <c r="P132" s="299">
        <v>0</v>
      </c>
      <c r="Q132" s="299">
        <v>74780</v>
      </c>
      <c r="R132" s="299"/>
      <c r="S132" s="299"/>
      <c r="T132" s="299"/>
      <c r="U132" s="299">
        <f>H132-O132-Q132</f>
        <v>12680</v>
      </c>
      <c r="V132" s="299">
        <f>X132</f>
        <v>2000</v>
      </c>
      <c r="W132" s="299" t="s">
        <v>59</v>
      </c>
      <c r="X132" s="299">
        <v>2000</v>
      </c>
      <c r="Y132" s="343"/>
      <c r="Z132" s="343"/>
      <c r="AA132" s="37" t="s">
        <v>818</v>
      </c>
      <c r="AB132" s="325">
        <v>2000</v>
      </c>
      <c r="AC132" s="325">
        <f t="shared" si="13"/>
        <v>0</v>
      </c>
      <c r="AD132" s="335"/>
      <c r="AE132" s="335"/>
      <c r="AF132" s="635" t="s">
        <v>819</v>
      </c>
      <c r="AG132" s="636"/>
      <c r="AH132" s="636"/>
      <c r="AI132" s="636"/>
      <c r="AJ132" s="636"/>
      <c r="AK132" s="636"/>
      <c r="AL132" s="636"/>
    </row>
    <row r="133" spans="1:45" s="169" customFormat="1" ht="63.75">
      <c r="A133" s="298">
        <v>10</v>
      </c>
      <c r="B133" s="295" t="s">
        <v>872</v>
      </c>
      <c r="C133" s="54" t="s">
        <v>289</v>
      </c>
      <c r="D133" s="296"/>
      <c r="E133" s="296"/>
      <c r="F133" s="75" t="s">
        <v>873</v>
      </c>
      <c r="G133" s="298" t="s">
        <v>874</v>
      </c>
      <c r="H133" s="299">
        <v>11325</v>
      </c>
      <c r="I133" s="301">
        <v>7361</v>
      </c>
      <c r="J133" s="257"/>
      <c r="K133" s="301"/>
      <c r="L133" s="301"/>
      <c r="M133" s="301">
        <v>3600</v>
      </c>
      <c r="N133" s="301">
        <v>3600</v>
      </c>
      <c r="O133" s="301">
        <v>3600</v>
      </c>
      <c r="P133" s="301">
        <v>3600</v>
      </c>
      <c r="Q133" s="301"/>
      <c r="R133" s="301"/>
      <c r="S133" s="257"/>
      <c r="T133" s="257"/>
      <c r="U133" s="301">
        <v>7361</v>
      </c>
      <c r="V133" s="301">
        <f t="shared" si="18"/>
        <v>7361</v>
      </c>
      <c r="W133" s="301"/>
      <c r="X133" s="301">
        <v>6000</v>
      </c>
      <c r="Y133" s="301"/>
      <c r="Z133" s="301">
        <f>X133</f>
        <v>6000</v>
      </c>
      <c r="AA133" s="37" t="s">
        <v>875</v>
      </c>
      <c r="AB133" s="164">
        <v>6000</v>
      </c>
      <c r="AC133" s="164">
        <f t="shared" si="13"/>
        <v>0</v>
      </c>
      <c r="AD133" s="36">
        <f>X133</f>
        <v>6000</v>
      </c>
      <c r="AE133" s="36"/>
      <c r="AF133" s="36">
        <v>2000</v>
      </c>
      <c r="AG133" s="37"/>
      <c r="AH133" s="37">
        <f t="shared" si="17"/>
        <v>1361</v>
      </c>
      <c r="AI133" s="37"/>
      <c r="AJ133" s="37"/>
      <c r="AK133" s="24">
        <f>W133-Y133</f>
        <v>0</v>
      </c>
      <c r="AL133" s="35">
        <f t="shared" si="14"/>
        <v>4000</v>
      </c>
      <c r="AM133" s="166"/>
      <c r="AN133" s="167"/>
      <c r="AO133" s="168"/>
      <c r="AP133" s="168"/>
      <c r="AR133" s="170"/>
      <c r="AS133" s="170"/>
    </row>
    <row r="134" spans="1:38" s="38" customFormat="1" ht="34.5" customHeight="1">
      <c r="A134" s="76">
        <v>11</v>
      </c>
      <c r="B134" s="24" t="s">
        <v>480</v>
      </c>
      <c r="C134" s="26" t="s">
        <v>289</v>
      </c>
      <c r="D134" s="26"/>
      <c r="E134" s="26"/>
      <c r="F134" s="26"/>
      <c r="G134" s="13" t="s">
        <v>548</v>
      </c>
      <c r="H134" s="71">
        <v>7800</v>
      </c>
      <c r="I134" s="71">
        <v>7800</v>
      </c>
      <c r="J134" s="71"/>
      <c r="K134" s="71"/>
      <c r="L134" s="71"/>
      <c r="M134" s="71"/>
      <c r="N134" s="71"/>
      <c r="O134" s="71"/>
      <c r="P134" s="71"/>
      <c r="Q134" s="72"/>
      <c r="R134" s="71"/>
      <c r="S134" s="71"/>
      <c r="T134" s="71"/>
      <c r="U134" s="73">
        <v>7700</v>
      </c>
      <c r="V134" s="73">
        <v>7700</v>
      </c>
      <c r="W134" s="73"/>
      <c r="X134" s="73">
        <v>2500</v>
      </c>
      <c r="Y134" s="73"/>
      <c r="Z134" s="73">
        <f>X134</f>
        <v>2500</v>
      </c>
      <c r="AA134" s="37" t="s">
        <v>726</v>
      </c>
      <c r="AB134" s="312">
        <v>2500</v>
      </c>
      <c r="AC134" s="313">
        <f aca="true" t="shared" si="19" ref="AC134:AC158">+X134-AB134</f>
        <v>0</v>
      </c>
      <c r="AD134" s="36"/>
      <c r="AE134" s="36"/>
      <c r="AF134" s="36">
        <v>119.042</v>
      </c>
      <c r="AG134" s="37">
        <f>V134/100*35</f>
        <v>2695</v>
      </c>
      <c r="AH134" s="37"/>
      <c r="AI134" s="37"/>
      <c r="AJ134" s="37"/>
      <c r="AK134" s="24"/>
      <c r="AL134" s="35">
        <f>+X134-AF134</f>
        <v>2380.958</v>
      </c>
    </row>
    <row r="135" spans="1:38" s="41" customFormat="1" ht="46.5" customHeight="1">
      <c r="A135" s="298">
        <v>12</v>
      </c>
      <c r="B135" s="386" t="s">
        <v>806</v>
      </c>
      <c r="C135" s="54"/>
      <c r="D135" s="54"/>
      <c r="E135" s="54"/>
      <c r="F135" s="54"/>
      <c r="G135" s="356" t="s">
        <v>807</v>
      </c>
      <c r="H135" s="299">
        <v>13300</v>
      </c>
      <c r="I135" s="299">
        <v>13300</v>
      </c>
      <c r="J135" s="385"/>
      <c r="K135" s="72"/>
      <c r="L135" s="72"/>
      <c r="M135" s="72"/>
      <c r="N135" s="72"/>
      <c r="O135" s="72"/>
      <c r="P135" s="72"/>
      <c r="Q135" s="72"/>
      <c r="R135" s="72"/>
      <c r="S135" s="72"/>
      <c r="T135" s="72"/>
      <c r="U135" s="343">
        <v>13300</v>
      </c>
      <c r="V135" s="343">
        <v>13300</v>
      </c>
      <c r="W135" s="343"/>
      <c r="X135" s="343">
        <v>5000</v>
      </c>
      <c r="Y135" s="343"/>
      <c r="Z135" s="343"/>
      <c r="AA135" s="37" t="s">
        <v>726</v>
      </c>
      <c r="AB135" s="163">
        <v>5000</v>
      </c>
      <c r="AC135" s="314">
        <f t="shared" si="19"/>
        <v>0</v>
      </c>
      <c r="AD135" s="36">
        <f>X135</f>
        <v>5000</v>
      </c>
      <c r="AE135" s="36"/>
      <c r="AF135" s="36"/>
      <c r="AG135" s="37"/>
      <c r="AH135" s="37"/>
      <c r="AI135" s="37"/>
      <c r="AJ135" s="37"/>
      <c r="AK135" s="24"/>
      <c r="AL135" s="35"/>
    </row>
    <row r="136" spans="1:243" s="40" customFormat="1" ht="29.25" customHeight="1">
      <c r="A136" s="25"/>
      <c r="B136" s="387"/>
      <c r="C136" s="54"/>
      <c r="D136" s="25"/>
      <c r="E136" s="25"/>
      <c r="F136" s="12"/>
      <c r="G136" s="25" t="s">
        <v>59</v>
      </c>
      <c r="H136" s="71"/>
      <c r="I136" s="71"/>
      <c r="J136" s="71"/>
      <c r="K136" s="71"/>
      <c r="L136" s="71"/>
      <c r="M136" s="71"/>
      <c r="N136" s="71"/>
      <c r="O136" s="71"/>
      <c r="P136" s="71"/>
      <c r="Q136" s="71"/>
      <c r="R136" s="71"/>
      <c r="S136" s="71"/>
      <c r="T136" s="71"/>
      <c r="U136" s="71"/>
      <c r="V136" s="71"/>
      <c r="W136" s="71"/>
      <c r="X136" s="71"/>
      <c r="Y136" s="71"/>
      <c r="Z136" s="71"/>
      <c r="AA136" s="13"/>
      <c r="AB136" s="164"/>
      <c r="AC136" s="164">
        <f t="shared" si="19"/>
        <v>0</v>
      </c>
      <c r="AD136" s="42"/>
      <c r="AE136" s="42"/>
      <c r="AF136" s="42"/>
      <c r="AG136" s="13"/>
      <c r="AH136" s="37">
        <f>V136-X136</f>
        <v>0</v>
      </c>
      <c r="AI136" s="37"/>
      <c r="AJ136" s="37"/>
      <c r="AK136" s="24">
        <f>W136-Y136</f>
        <v>0</v>
      </c>
      <c r="AL136" s="35">
        <f>+X136-AF136</f>
        <v>0</v>
      </c>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row>
    <row r="137" spans="1:38" s="273" customFormat="1" ht="20.25" customHeight="1">
      <c r="A137" s="382" t="s">
        <v>43</v>
      </c>
      <c r="B137" s="351" t="s">
        <v>55</v>
      </c>
      <c r="C137" s="54"/>
      <c r="D137" s="361"/>
      <c r="E137" s="361"/>
      <c r="F137" s="361"/>
      <c r="G137" s="361"/>
      <c r="H137" s="275">
        <f aca="true" t="shared" si="20" ref="H137:U137">SUM(H147:H160)</f>
        <v>314095</v>
      </c>
      <c r="I137" s="275">
        <f t="shared" si="20"/>
        <v>104533</v>
      </c>
      <c r="J137" s="275">
        <f t="shared" si="20"/>
        <v>0</v>
      </c>
      <c r="K137" s="275">
        <f t="shared" si="20"/>
        <v>164288</v>
      </c>
      <c r="L137" s="275">
        <f t="shared" si="20"/>
        <v>154288</v>
      </c>
      <c r="M137" s="275" t="e">
        <f t="shared" si="20"/>
        <v>#REF!</v>
      </c>
      <c r="N137" s="275" t="e">
        <f t="shared" si="20"/>
        <v>#REF!</v>
      </c>
      <c r="O137" s="275">
        <f t="shared" si="20"/>
        <v>197512.527</v>
      </c>
      <c r="P137" s="275">
        <f t="shared" si="20"/>
        <v>13565</v>
      </c>
      <c r="Q137" s="275">
        <f t="shared" si="20"/>
        <v>43437</v>
      </c>
      <c r="R137" s="275">
        <f t="shared" si="20"/>
        <v>20830</v>
      </c>
      <c r="S137" s="275">
        <f t="shared" si="20"/>
        <v>0</v>
      </c>
      <c r="T137" s="275">
        <f t="shared" si="20"/>
        <v>8980</v>
      </c>
      <c r="U137" s="275">
        <f t="shared" si="20"/>
        <v>80850</v>
      </c>
      <c r="V137" s="275">
        <f>SUM(V147:V159)</f>
        <v>78258</v>
      </c>
      <c r="W137" s="275">
        <f>SUM(W147:W160)</f>
        <v>50450</v>
      </c>
      <c r="X137" s="275">
        <f>SUM(X138:X159)</f>
        <v>45561.036</v>
      </c>
      <c r="Y137" s="275">
        <f>SUM(Y147:Y160)</f>
        <v>37355</v>
      </c>
      <c r="Z137" s="275"/>
      <c r="AA137" s="33">
        <v>45560.853419927684</v>
      </c>
      <c r="AB137" s="316">
        <v>45561.036</v>
      </c>
      <c r="AC137" s="317">
        <f t="shared" si="19"/>
        <v>0</v>
      </c>
      <c r="AD137" s="32"/>
      <c r="AE137" s="32"/>
      <c r="AF137" s="277">
        <v>41286</v>
      </c>
      <c r="AG137" s="33"/>
      <c r="AH137" s="275">
        <f>SUM(AH147:AH159)</f>
        <v>34373</v>
      </c>
      <c r="AI137" s="37"/>
      <c r="AJ137" s="37"/>
      <c r="AK137" s="24">
        <f>X137-AA137</f>
        <v>0.1825800723163411</v>
      </c>
      <c r="AL137" s="35">
        <f>+X137-AF137</f>
        <v>4275.036</v>
      </c>
    </row>
    <row r="138" spans="1:38" s="273" customFormat="1" ht="63.75">
      <c r="A138" s="298">
        <v>1</v>
      </c>
      <c r="B138" s="388" t="s">
        <v>599</v>
      </c>
      <c r="C138" s="54"/>
      <c r="D138" s="361"/>
      <c r="E138" s="361"/>
      <c r="F138" s="361"/>
      <c r="G138" s="361"/>
      <c r="H138" s="275"/>
      <c r="I138" s="275"/>
      <c r="J138" s="275"/>
      <c r="K138" s="275"/>
      <c r="L138" s="275"/>
      <c r="M138" s="275"/>
      <c r="N138" s="275"/>
      <c r="O138" s="275"/>
      <c r="P138" s="275"/>
      <c r="Q138" s="275"/>
      <c r="R138" s="275"/>
      <c r="S138" s="275"/>
      <c r="T138" s="275"/>
      <c r="U138" s="275"/>
      <c r="V138" s="275"/>
      <c r="W138" s="275"/>
      <c r="X138" s="389">
        <v>57</v>
      </c>
      <c r="Y138" s="389">
        <v>57</v>
      </c>
      <c r="Z138" s="275"/>
      <c r="AA138" s="37" t="s">
        <v>801</v>
      </c>
      <c r="AB138" s="319">
        <v>57</v>
      </c>
      <c r="AC138" s="320">
        <f t="shared" si="19"/>
        <v>0</v>
      </c>
      <c r="AD138" s="36"/>
      <c r="AE138" s="36"/>
      <c r="AF138" s="277"/>
      <c r="AG138" s="33"/>
      <c r="AH138" s="275"/>
      <c r="AI138" s="37"/>
      <c r="AJ138" s="37"/>
      <c r="AK138" s="24"/>
      <c r="AL138" s="35"/>
    </row>
    <row r="139" spans="1:38" s="273" customFormat="1" ht="25.5">
      <c r="A139" s="298">
        <v>2</v>
      </c>
      <c r="B139" s="388" t="s">
        <v>615</v>
      </c>
      <c r="C139" s="54"/>
      <c r="D139" s="361"/>
      <c r="E139" s="361"/>
      <c r="F139" s="361"/>
      <c r="G139" s="361"/>
      <c r="H139" s="275"/>
      <c r="I139" s="275"/>
      <c r="J139" s="275"/>
      <c r="K139" s="275"/>
      <c r="L139" s="275"/>
      <c r="M139" s="275"/>
      <c r="N139" s="275"/>
      <c r="O139" s="275"/>
      <c r="P139" s="275"/>
      <c r="Q139" s="275"/>
      <c r="R139" s="275"/>
      <c r="S139" s="275"/>
      <c r="T139" s="275"/>
      <c r="U139" s="275"/>
      <c r="V139" s="275"/>
      <c r="W139" s="275"/>
      <c r="X139" s="389">
        <v>0.5</v>
      </c>
      <c r="Y139" s="389">
        <f>X139</f>
        <v>0.5</v>
      </c>
      <c r="Z139" s="275"/>
      <c r="AA139" s="37" t="s">
        <v>801</v>
      </c>
      <c r="AB139" s="319">
        <v>0.5</v>
      </c>
      <c r="AC139" s="320">
        <f t="shared" si="19"/>
        <v>0</v>
      </c>
      <c r="AD139" s="36"/>
      <c r="AE139" s="36"/>
      <c r="AF139" s="277"/>
      <c r="AG139" s="33"/>
      <c r="AH139" s="275"/>
      <c r="AI139" s="37"/>
      <c r="AJ139" s="37"/>
      <c r="AK139" s="24"/>
      <c r="AL139" s="35"/>
    </row>
    <row r="140" spans="1:38" s="273" customFormat="1" ht="25.5">
      <c r="A140" s="298">
        <v>3</v>
      </c>
      <c r="B140" s="388" t="s">
        <v>623</v>
      </c>
      <c r="C140" s="54"/>
      <c r="D140" s="361"/>
      <c r="E140" s="361"/>
      <c r="F140" s="361"/>
      <c r="G140" s="361"/>
      <c r="H140" s="275"/>
      <c r="I140" s="275"/>
      <c r="J140" s="275"/>
      <c r="K140" s="275"/>
      <c r="L140" s="275"/>
      <c r="M140" s="275"/>
      <c r="N140" s="275"/>
      <c r="O140" s="275"/>
      <c r="P140" s="275"/>
      <c r="Q140" s="275"/>
      <c r="R140" s="275"/>
      <c r="S140" s="275"/>
      <c r="T140" s="275"/>
      <c r="U140" s="275"/>
      <c r="V140" s="275"/>
      <c r="W140" s="275"/>
      <c r="X140" s="389">
        <f>(945337000-325509000)/1000000</f>
        <v>619.828</v>
      </c>
      <c r="Y140" s="389">
        <f>X140</f>
        <v>619.828</v>
      </c>
      <c r="Z140" s="275"/>
      <c r="AA140" s="37" t="s">
        <v>801</v>
      </c>
      <c r="AB140" s="319">
        <v>619.828</v>
      </c>
      <c r="AC140" s="320">
        <f t="shared" si="19"/>
        <v>0</v>
      </c>
      <c r="AD140" s="36"/>
      <c r="AE140" s="36"/>
      <c r="AF140" s="277"/>
      <c r="AG140" s="33"/>
      <c r="AH140" s="275"/>
      <c r="AI140" s="37"/>
      <c r="AJ140" s="37"/>
      <c r="AK140" s="24"/>
      <c r="AL140" s="35"/>
    </row>
    <row r="141" spans="1:38" s="273" customFormat="1" ht="38.25">
      <c r="A141" s="298">
        <v>4</v>
      </c>
      <c r="B141" s="390" t="s">
        <v>633</v>
      </c>
      <c r="C141" s="54"/>
      <c r="D141" s="361"/>
      <c r="E141" s="361"/>
      <c r="F141" s="361"/>
      <c r="G141" s="361"/>
      <c r="H141" s="275"/>
      <c r="I141" s="275"/>
      <c r="J141" s="275"/>
      <c r="K141" s="275"/>
      <c r="L141" s="275"/>
      <c r="M141" s="275"/>
      <c r="N141" s="275"/>
      <c r="O141" s="275"/>
      <c r="P141" s="275"/>
      <c r="Q141" s="275"/>
      <c r="R141" s="275"/>
      <c r="S141" s="275"/>
      <c r="T141" s="275"/>
      <c r="U141" s="275"/>
      <c r="V141" s="275"/>
      <c r="W141" s="275"/>
      <c r="X141" s="389">
        <v>14.208</v>
      </c>
      <c r="Y141" s="389">
        <f>X141</f>
        <v>14.208</v>
      </c>
      <c r="Z141" s="275"/>
      <c r="AA141" s="37" t="s">
        <v>801</v>
      </c>
      <c r="AB141" s="319">
        <v>14.208</v>
      </c>
      <c r="AC141" s="320">
        <f t="shared" si="19"/>
        <v>0</v>
      </c>
      <c r="AD141" s="36"/>
      <c r="AE141" s="36"/>
      <c r="AF141" s="277"/>
      <c r="AG141" s="33"/>
      <c r="AH141" s="275"/>
      <c r="AI141" s="37"/>
      <c r="AJ141" s="37"/>
      <c r="AK141" s="24"/>
      <c r="AL141" s="35"/>
    </row>
    <row r="142" spans="1:38" s="273" customFormat="1" ht="76.5" customHeight="1">
      <c r="A142" s="298">
        <v>5</v>
      </c>
      <c r="B142" s="390" t="s">
        <v>811</v>
      </c>
      <c r="C142" s="54"/>
      <c r="D142" s="361"/>
      <c r="E142" s="361"/>
      <c r="F142" s="361"/>
      <c r="G142" s="361"/>
      <c r="H142" s="275"/>
      <c r="I142" s="275"/>
      <c r="J142" s="275"/>
      <c r="K142" s="275"/>
      <c r="L142" s="275"/>
      <c r="M142" s="275"/>
      <c r="N142" s="275"/>
      <c r="O142" s="275"/>
      <c r="P142" s="275"/>
      <c r="Q142" s="275"/>
      <c r="R142" s="275"/>
      <c r="S142" s="275"/>
      <c r="T142" s="275"/>
      <c r="U142" s="275"/>
      <c r="V142" s="275"/>
      <c r="W142" s="275"/>
      <c r="X142" s="389">
        <v>540</v>
      </c>
      <c r="Y142" s="389">
        <f>X142</f>
        <v>540</v>
      </c>
      <c r="Z142" s="275"/>
      <c r="AA142" s="37" t="s">
        <v>940</v>
      </c>
      <c r="AB142" s="319">
        <v>240</v>
      </c>
      <c r="AC142" s="320">
        <f t="shared" si="19"/>
        <v>300</v>
      </c>
      <c r="AD142" s="36">
        <f>X142</f>
        <v>540</v>
      </c>
      <c r="AE142" s="36"/>
      <c r="AF142" s="277"/>
      <c r="AG142" s="33"/>
      <c r="AH142" s="275"/>
      <c r="AI142" s="37"/>
      <c r="AJ142" s="37"/>
      <c r="AK142" s="24"/>
      <c r="AL142" s="35"/>
    </row>
    <row r="143" spans="1:38" s="273" customFormat="1" ht="72.75" customHeight="1">
      <c r="A143" s="298">
        <v>6</v>
      </c>
      <c r="B143" s="226" t="s">
        <v>669</v>
      </c>
      <c r="C143" s="54"/>
      <c r="D143" s="361"/>
      <c r="E143" s="361"/>
      <c r="F143" s="361"/>
      <c r="G143" s="361"/>
      <c r="H143" s="275"/>
      <c r="I143" s="275"/>
      <c r="J143" s="275"/>
      <c r="K143" s="275"/>
      <c r="L143" s="275"/>
      <c r="M143" s="275"/>
      <c r="N143" s="275"/>
      <c r="O143" s="275"/>
      <c r="P143" s="275"/>
      <c r="Q143" s="275"/>
      <c r="R143" s="275"/>
      <c r="S143" s="275"/>
      <c r="T143" s="275"/>
      <c r="U143" s="71">
        <v>305.4</v>
      </c>
      <c r="V143" s="215">
        <v>305.4</v>
      </c>
      <c r="W143" s="275">
        <f>V143</f>
        <v>305.4</v>
      </c>
      <c r="X143" s="389">
        <f>W143</f>
        <v>305.4</v>
      </c>
      <c r="Y143" s="389">
        <f>X143</f>
        <v>305.4</v>
      </c>
      <c r="Z143" s="275"/>
      <c r="AA143" s="37" t="s">
        <v>801</v>
      </c>
      <c r="AB143" s="319">
        <v>305.4</v>
      </c>
      <c r="AC143" s="320">
        <f t="shared" si="19"/>
        <v>0</v>
      </c>
      <c r="AD143" s="36">
        <f>Y143</f>
        <v>305.4</v>
      </c>
      <c r="AE143" s="36"/>
      <c r="AF143" s="277"/>
      <c r="AG143" s="33"/>
      <c r="AH143" s="275"/>
      <c r="AI143" s="37"/>
      <c r="AJ143" s="37"/>
      <c r="AK143" s="24"/>
      <c r="AL143" s="35"/>
    </row>
    <row r="144" spans="1:38" s="273" customFormat="1" ht="58.5" customHeight="1">
      <c r="A144" s="298">
        <v>7</v>
      </c>
      <c r="B144" s="226" t="s">
        <v>673</v>
      </c>
      <c r="C144" s="54"/>
      <c r="D144" s="361"/>
      <c r="E144" s="361"/>
      <c r="F144" s="361"/>
      <c r="G144" s="229" t="s">
        <v>766</v>
      </c>
      <c r="H144" s="71">
        <v>4150</v>
      </c>
      <c r="I144" s="71">
        <v>1468.9</v>
      </c>
      <c r="J144" s="275"/>
      <c r="K144" s="275"/>
      <c r="L144" s="275"/>
      <c r="M144" s="275"/>
      <c r="N144" s="275"/>
      <c r="O144" s="275"/>
      <c r="P144" s="275"/>
      <c r="Q144" s="275"/>
      <c r="R144" s="275"/>
      <c r="S144" s="275"/>
      <c r="T144" s="275"/>
      <c r="U144" s="391">
        <f>V144</f>
        <v>294</v>
      </c>
      <c r="V144" s="391">
        <v>294</v>
      </c>
      <c r="W144" s="71">
        <f>V144</f>
        <v>294</v>
      </c>
      <c r="X144" s="71">
        <f>Y144</f>
        <v>294</v>
      </c>
      <c r="Y144" s="215">
        <f>V144</f>
        <v>294</v>
      </c>
      <c r="Z144" s="275"/>
      <c r="AA144" s="37" t="s">
        <v>546</v>
      </c>
      <c r="AB144" s="164">
        <v>294</v>
      </c>
      <c r="AC144" s="164">
        <f t="shared" si="19"/>
        <v>0</v>
      </c>
      <c r="AD144" s="36">
        <f>X144</f>
        <v>294</v>
      </c>
      <c r="AE144" s="36"/>
      <c r="AF144" s="277"/>
      <c r="AG144" s="33"/>
      <c r="AH144" s="275"/>
      <c r="AI144" s="37"/>
      <c r="AJ144" s="37"/>
      <c r="AK144" s="24"/>
      <c r="AL144" s="35"/>
    </row>
    <row r="145" spans="1:38" s="273" customFormat="1" ht="58.5" customHeight="1">
      <c r="A145" s="298">
        <v>8</v>
      </c>
      <c r="B145" s="226" t="s">
        <v>674</v>
      </c>
      <c r="C145" s="54"/>
      <c r="D145" s="361"/>
      <c r="E145" s="361"/>
      <c r="F145" s="361"/>
      <c r="G145" s="229" t="s">
        <v>767</v>
      </c>
      <c r="H145" s="71">
        <v>2100</v>
      </c>
      <c r="I145" s="71">
        <v>749</v>
      </c>
      <c r="J145" s="275"/>
      <c r="K145" s="275"/>
      <c r="L145" s="275"/>
      <c r="M145" s="275"/>
      <c r="N145" s="275"/>
      <c r="O145" s="275"/>
      <c r="P145" s="275"/>
      <c r="Q145" s="275"/>
      <c r="R145" s="275"/>
      <c r="S145" s="275"/>
      <c r="T145" s="275"/>
      <c r="U145" s="391">
        <f>V145</f>
        <v>145.1</v>
      </c>
      <c r="V145" s="391">
        <v>145.1</v>
      </c>
      <c r="W145" s="71">
        <f>V145</f>
        <v>145.1</v>
      </c>
      <c r="X145" s="71">
        <f>Y145</f>
        <v>145.1</v>
      </c>
      <c r="Y145" s="215">
        <f>V145</f>
        <v>145.1</v>
      </c>
      <c r="Z145" s="275"/>
      <c r="AA145" s="37" t="s">
        <v>546</v>
      </c>
      <c r="AB145" s="164">
        <v>145.1</v>
      </c>
      <c r="AC145" s="164">
        <f t="shared" si="19"/>
        <v>0</v>
      </c>
      <c r="AD145" s="36">
        <f>X145</f>
        <v>145.1</v>
      </c>
      <c r="AE145" s="36"/>
      <c r="AF145" s="277"/>
      <c r="AG145" s="33"/>
      <c r="AH145" s="275"/>
      <c r="AI145" s="37"/>
      <c r="AJ145" s="37"/>
      <c r="AK145" s="24"/>
      <c r="AL145" s="35"/>
    </row>
    <row r="146" spans="1:38" s="273" customFormat="1" ht="51">
      <c r="A146" s="298">
        <v>9</v>
      </c>
      <c r="B146" s="226" t="s">
        <v>676</v>
      </c>
      <c r="C146" s="54"/>
      <c r="D146" s="361"/>
      <c r="E146" s="361"/>
      <c r="F146" s="361"/>
      <c r="G146" s="216" t="s">
        <v>771</v>
      </c>
      <c r="H146" s="391">
        <v>2810</v>
      </c>
      <c r="I146" s="391">
        <v>510</v>
      </c>
      <c r="J146" s="275"/>
      <c r="K146" s="275"/>
      <c r="L146" s="275"/>
      <c r="M146" s="275"/>
      <c r="N146" s="275"/>
      <c r="O146" s="275"/>
      <c r="P146" s="275"/>
      <c r="Q146" s="275"/>
      <c r="R146" s="275"/>
      <c r="S146" s="275"/>
      <c r="T146" s="275"/>
      <c r="U146" s="391">
        <v>230</v>
      </c>
      <c r="V146" s="391">
        <v>230</v>
      </c>
      <c r="W146" s="391">
        <v>230</v>
      </c>
      <c r="X146" s="391">
        <v>230</v>
      </c>
      <c r="Y146" s="391">
        <v>230</v>
      </c>
      <c r="Z146" s="275"/>
      <c r="AA146" s="37" t="s">
        <v>546</v>
      </c>
      <c r="AB146" s="321">
        <v>230</v>
      </c>
      <c r="AC146" s="321">
        <f t="shared" si="19"/>
        <v>0</v>
      </c>
      <c r="AD146" s="36">
        <f>X146</f>
        <v>230</v>
      </c>
      <c r="AE146" s="36"/>
      <c r="AF146" s="277"/>
      <c r="AG146" s="33"/>
      <c r="AH146" s="275"/>
      <c r="AI146" s="37"/>
      <c r="AJ146" s="37"/>
      <c r="AK146" s="24"/>
      <c r="AL146" s="35"/>
    </row>
    <row r="147" spans="1:38" s="41" customFormat="1" ht="38.25">
      <c r="A147" s="298">
        <v>10</v>
      </c>
      <c r="B147" s="295" t="s">
        <v>71</v>
      </c>
      <c r="C147" s="75" t="s">
        <v>66</v>
      </c>
      <c r="D147" s="75"/>
      <c r="E147" s="75"/>
      <c r="F147" s="54"/>
      <c r="G147" s="26" t="s">
        <v>72</v>
      </c>
      <c r="H147" s="71">
        <v>44128</v>
      </c>
      <c r="I147" s="71">
        <v>5900</v>
      </c>
      <c r="J147" s="392" t="s">
        <v>73</v>
      </c>
      <c r="K147" s="393">
        <f>44128+21000</f>
        <v>65128</v>
      </c>
      <c r="L147" s="71">
        <f>K147</f>
        <v>65128</v>
      </c>
      <c r="M147" s="376" t="e">
        <f>N147</f>
        <v>#REF!</v>
      </c>
      <c r="N147" s="376" t="e">
        <f>L147-#REF!</f>
        <v>#REF!</v>
      </c>
      <c r="O147" s="376">
        <v>58705</v>
      </c>
      <c r="P147" s="376"/>
      <c r="Q147" s="350"/>
      <c r="R147" s="380"/>
      <c r="S147" s="72"/>
      <c r="T147" s="72"/>
      <c r="U147" s="343">
        <v>5900</v>
      </c>
      <c r="V147" s="343">
        <f>U147</f>
        <v>5900</v>
      </c>
      <c r="W147" s="343">
        <f>V147</f>
        <v>5900</v>
      </c>
      <c r="X147" s="343">
        <v>5900</v>
      </c>
      <c r="Y147" s="343">
        <f>X147</f>
        <v>5900</v>
      </c>
      <c r="Z147" s="343"/>
      <c r="AA147" s="37" t="s">
        <v>364</v>
      </c>
      <c r="AB147" s="163">
        <v>5900</v>
      </c>
      <c r="AC147" s="314">
        <f t="shared" si="19"/>
        <v>0</v>
      </c>
      <c r="AD147" s="36"/>
      <c r="AE147" s="36"/>
      <c r="AF147" s="36">
        <v>4980</v>
      </c>
      <c r="AG147" s="37"/>
      <c r="AH147" s="37">
        <f aca="true" t="shared" si="21" ref="AH147:AH156">V147-X147</f>
        <v>0</v>
      </c>
      <c r="AI147" s="37"/>
      <c r="AJ147" s="37"/>
      <c r="AK147" s="24">
        <f>W147-X147</f>
        <v>0</v>
      </c>
      <c r="AL147" s="35">
        <f aca="true" t="shared" si="22" ref="AL147:AL156">+X147-AF147</f>
        <v>920</v>
      </c>
    </row>
    <row r="148" spans="1:38" s="41" customFormat="1" ht="38.25">
      <c r="A148" s="298">
        <v>11</v>
      </c>
      <c r="B148" s="295" t="s">
        <v>346</v>
      </c>
      <c r="C148" s="75"/>
      <c r="D148" s="75"/>
      <c r="E148" s="75"/>
      <c r="F148" s="394" t="s">
        <v>347</v>
      </c>
      <c r="G148" s="394" t="s">
        <v>348</v>
      </c>
      <c r="H148" s="395">
        <v>34620</v>
      </c>
      <c r="I148" s="71">
        <f>H148-O148</f>
        <v>2108</v>
      </c>
      <c r="J148" s="392"/>
      <c r="K148" s="393"/>
      <c r="L148" s="71"/>
      <c r="M148" s="395">
        <v>32512</v>
      </c>
      <c r="N148" s="395">
        <f>M148</f>
        <v>32512</v>
      </c>
      <c r="O148" s="395">
        <v>32512</v>
      </c>
      <c r="P148" s="395">
        <f>I148-U148</f>
        <v>1488</v>
      </c>
      <c r="Q148" s="350"/>
      <c r="R148" s="380"/>
      <c r="S148" s="72"/>
      <c r="T148" s="72"/>
      <c r="U148" s="343">
        <v>620</v>
      </c>
      <c r="V148" s="343">
        <v>620</v>
      </c>
      <c r="W148" s="343">
        <f>V148</f>
        <v>620</v>
      </c>
      <c r="X148" s="343">
        <v>620</v>
      </c>
      <c r="Y148" s="343">
        <f>X148</f>
        <v>620</v>
      </c>
      <c r="Z148" s="343"/>
      <c r="AA148" s="37" t="s">
        <v>364</v>
      </c>
      <c r="AB148" s="163">
        <v>620</v>
      </c>
      <c r="AC148" s="314">
        <f t="shared" si="19"/>
        <v>0</v>
      </c>
      <c r="AD148" s="36"/>
      <c r="AE148" s="36"/>
      <c r="AF148" s="36">
        <v>620</v>
      </c>
      <c r="AG148" s="37"/>
      <c r="AH148" s="37">
        <f t="shared" si="21"/>
        <v>0</v>
      </c>
      <c r="AI148" s="37"/>
      <c r="AJ148" s="37"/>
      <c r="AK148" s="24">
        <f>W148-Y148</f>
        <v>0</v>
      </c>
      <c r="AL148" s="35">
        <f t="shared" si="22"/>
        <v>0</v>
      </c>
    </row>
    <row r="149" spans="1:38" s="263" customFormat="1" ht="38.25">
      <c r="A149" s="298">
        <v>12</v>
      </c>
      <c r="B149" s="349" t="s">
        <v>76</v>
      </c>
      <c r="C149" s="75" t="s">
        <v>66</v>
      </c>
      <c r="D149" s="75"/>
      <c r="E149" s="75"/>
      <c r="F149" s="396">
        <v>2015</v>
      </c>
      <c r="G149" s="356" t="s">
        <v>77</v>
      </c>
      <c r="H149" s="299">
        <v>7600</v>
      </c>
      <c r="I149" s="376">
        <f>H149-3000</f>
        <v>4600</v>
      </c>
      <c r="J149" s="72"/>
      <c r="K149" s="72"/>
      <c r="L149" s="72"/>
      <c r="M149" s="72">
        <f>1500+3000</f>
        <v>4500</v>
      </c>
      <c r="N149" s="72"/>
      <c r="O149" s="72">
        <f>M149</f>
        <v>4500</v>
      </c>
      <c r="P149" s="72">
        <v>4500</v>
      </c>
      <c r="Q149" s="72">
        <v>1254</v>
      </c>
      <c r="R149" s="380"/>
      <c r="S149" s="72"/>
      <c r="T149" s="72"/>
      <c r="U149" s="343">
        <f>H149-M149-Q149</f>
        <v>1846</v>
      </c>
      <c r="V149" s="343">
        <f aca="true" t="shared" si="23" ref="V149:V155">U149</f>
        <v>1846</v>
      </c>
      <c r="W149" s="343">
        <f>V149</f>
        <v>1846</v>
      </c>
      <c r="X149" s="343">
        <v>1840</v>
      </c>
      <c r="Y149" s="343">
        <f>X149</f>
        <v>1840</v>
      </c>
      <c r="Z149" s="343">
        <f>X149</f>
        <v>1840</v>
      </c>
      <c r="AA149" s="37" t="s">
        <v>364</v>
      </c>
      <c r="AB149" s="163">
        <v>1840</v>
      </c>
      <c r="AC149" s="314">
        <f t="shared" si="19"/>
        <v>0</v>
      </c>
      <c r="AD149" s="36">
        <f>X149</f>
        <v>1840</v>
      </c>
      <c r="AE149" s="36"/>
      <c r="AF149" s="36">
        <v>1840</v>
      </c>
      <c r="AG149" s="37"/>
      <c r="AH149" s="37">
        <f t="shared" si="21"/>
        <v>6</v>
      </c>
      <c r="AI149" s="37"/>
      <c r="AJ149" s="37"/>
      <c r="AK149" s="24">
        <f>I149-Q149</f>
        <v>3346</v>
      </c>
      <c r="AL149" s="35">
        <f t="shared" si="22"/>
        <v>0</v>
      </c>
    </row>
    <row r="150" spans="1:38" s="41" customFormat="1" ht="38.25">
      <c r="A150" s="298">
        <v>13</v>
      </c>
      <c r="B150" s="354" t="s">
        <v>80</v>
      </c>
      <c r="C150" s="75" t="s">
        <v>66</v>
      </c>
      <c r="D150" s="75"/>
      <c r="E150" s="75"/>
      <c r="F150" s="361"/>
      <c r="G150" s="356" t="s">
        <v>81</v>
      </c>
      <c r="H150" s="299">
        <v>2300</v>
      </c>
      <c r="I150" s="371">
        <f>H150</f>
        <v>2300</v>
      </c>
      <c r="J150" s="70"/>
      <c r="K150" s="70"/>
      <c r="L150" s="70"/>
      <c r="M150" s="70"/>
      <c r="N150" s="70"/>
      <c r="O150" s="70"/>
      <c r="P150" s="70"/>
      <c r="Q150" s="299">
        <v>1300</v>
      </c>
      <c r="R150" s="380">
        <f>Q150</f>
        <v>1300</v>
      </c>
      <c r="S150" s="70"/>
      <c r="T150" s="371">
        <f>Q150</f>
        <v>1300</v>
      </c>
      <c r="U150" s="343">
        <v>1000</v>
      </c>
      <c r="V150" s="343">
        <f t="shared" si="23"/>
        <v>1000</v>
      </c>
      <c r="W150" s="343">
        <f>V150</f>
        <v>1000</v>
      </c>
      <c r="X150" s="343">
        <f>U150</f>
        <v>1000</v>
      </c>
      <c r="Y150" s="343">
        <f>X150</f>
        <v>1000</v>
      </c>
      <c r="Z150" s="275"/>
      <c r="AA150" s="37" t="s">
        <v>364</v>
      </c>
      <c r="AB150" s="163">
        <v>1000</v>
      </c>
      <c r="AC150" s="314">
        <f t="shared" si="19"/>
        <v>0</v>
      </c>
      <c r="AD150" s="36"/>
      <c r="AE150" s="36"/>
      <c r="AF150" s="36">
        <v>1000</v>
      </c>
      <c r="AG150" s="37"/>
      <c r="AH150" s="37">
        <f t="shared" si="21"/>
        <v>0</v>
      </c>
      <c r="AI150" s="37"/>
      <c r="AJ150" s="37"/>
      <c r="AK150" s="43"/>
      <c r="AL150" s="35">
        <f t="shared" si="22"/>
        <v>0</v>
      </c>
    </row>
    <row r="151" spans="1:243" s="40" customFormat="1" ht="51.75" customHeight="1">
      <c r="A151" s="298">
        <v>14</v>
      </c>
      <c r="B151" s="209" t="s">
        <v>67</v>
      </c>
      <c r="C151" s="75" t="s">
        <v>66</v>
      </c>
      <c r="D151" s="13"/>
      <c r="E151" s="13"/>
      <c r="F151" s="26" t="s">
        <v>68</v>
      </c>
      <c r="G151" s="356" t="s">
        <v>69</v>
      </c>
      <c r="H151" s="397">
        <v>49160</v>
      </c>
      <c r="I151" s="71">
        <v>6370</v>
      </c>
      <c r="J151" s="71" t="s">
        <v>70</v>
      </c>
      <c r="K151" s="71">
        <v>49160</v>
      </c>
      <c r="L151" s="71">
        <v>49160</v>
      </c>
      <c r="M151" s="71">
        <v>30222</v>
      </c>
      <c r="N151" s="71">
        <v>26722</v>
      </c>
      <c r="O151" s="71">
        <v>30042</v>
      </c>
      <c r="P151" s="71">
        <v>1727</v>
      </c>
      <c r="Q151" s="71">
        <v>13000</v>
      </c>
      <c r="R151" s="71">
        <v>11000</v>
      </c>
      <c r="S151" s="71"/>
      <c r="T151" s="71"/>
      <c r="U151" s="71">
        <v>5000</v>
      </c>
      <c r="V151" s="71">
        <f t="shared" si="23"/>
        <v>5000</v>
      </c>
      <c r="W151" s="71">
        <f>V151</f>
        <v>5000</v>
      </c>
      <c r="X151" s="71">
        <v>5000</v>
      </c>
      <c r="Y151" s="71">
        <f>X151</f>
        <v>5000</v>
      </c>
      <c r="Z151" s="71"/>
      <c r="AA151" s="37" t="s">
        <v>364</v>
      </c>
      <c r="AB151" s="164">
        <v>5103</v>
      </c>
      <c r="AC151" s="164">
        <f t="shared" si="19"/>
        <v>-103</v>
      </c>
      <c r="AD151" s="36"/>
      <c r="AE151" s="36"/>
      <c r="AF151" s="36">
        <v>3586</v>
      </c>
      <c r="AG151" s="37"/>
      <c r="AH151" s="37">
        <f t="shared" si="21"/>
        <v>0</v>
      </c>
      <c r="AI151" s="37"/>
      <c r="AJ151" s="37"/>
      <c r="AK151" s="37"/>
      <c r="AL151" s="35">
        <f t="shared" si="22"/>
        <v>1414</v>
      </c>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5"/>
      <c r="IB151" s="35"/>
      <c r="IC151" s="35"/>
      <c r="ID151" s="35"/>
      <c r="IE151" s="35"/>
      <c r="IF151" s="35"/>
      <c r="IG151" s="35"/>
      <c r="IH151" s="35"/>
      <c r="II151" s="35"/>
    </row>
    <row r="152" spans="1:38" s="263" customFormat="1" ht="43.5" customHeight="1">
      <c r="A152" s="298">
        <v>15</v>
      </c>
      <c r="B152" s="359" t="s">
        <v>74</v>
      </c>
      <c r="C152" s="75" t="s">
        <v>66</v>
      </c>
      <c r="D152" s="54"/>
      <c r="E152" s="54"/>
      <c r="F152" s="54"/>
      <c r="G152" s="356" t="s">
        <v>75</v>
      </c>
      <c r="H152" s="299">
        <v>7800</v>
      </c>
      <c r="I152" s="371">
        <f>H152</f>
        <v>7800</v>
      </c>
      <c r="J152" s="72"/>
      <c r="K152" s="72"/>
      <c r="L152" s="72"/>
      <c r="M152" s="299">
        <v>3120</v>
      </c>
      <c r="N152" s="72"/>
      <c r="O152" s="299">
        <v>3120</v>
      </c>
      <c r="P152" s="72"/>
      <c r="Q152" s="299">
        <v>1000</v>
      </c>
      <c r="R152" s="72"/>
      <c r="S152" s="72"/>
      <c r="T152" s="299"/>
      <c r="U152" s="343">
        <f>H152-M152-Q152</f>
        <v>3680</v>
      </c>
      <c r="V152" s="343">
        <f>U152</f>
        <v>3680</v>
      </c>
      <c r="W152" s="343">
        <v>3680</v>
      </c>
      <c r="X152" s="343">
        <v>3680</v>
      </c>
      <c r="Y152" s="343">
        <f>+X152</f>
        <v>3680</v>
      </c>
      <c r="Z152" s="343"/>
      <c r="AA152" s="37" t="s">
        <v>364</v>
      </c>
      <c r="AB152" s="163">
        <v>2000</v>
      </c>
      <c r="AC152" s="314">
        <f t="shared" si="19"/>
        <v>1680</v>
      </c>
      <c r="AD152" s="36"/>
      <c r="AE152" s="36"/>
      <c r="AF152" s="36">
        <v>2000</v>
      </c>
      <c r="AG152" s="37"/>
      <c r="AH152" s="37">
        <f t="shared" si="21"/>
        <v>0</v>
      </c>
      <c r="AI152" s="37"/>
      <c r="AJ152" s="37"/>
      <c r="AK152" s="24">
        <f>W152-Y152</f>
        <v>0</v>
      </c>
      <c r="AL152" s="35">
        <f t="shared" si="22"/>
        <v>1680</v>
      </c>
    </row>
    <row r="153" spans="1:44" s="169" customFormat="1" ht="51.75" customHeight="1">
      <c r="A153" s="298">
        <v>16</v>
      </c>
      <c r="B153" s="295" t="s">
        <v>876</v>
      </c>
      <c r="C153" s="75" t="s">
        <v>66</v>
      </c>
      <c r="D153" s="296"/>
      <c r="E153" s="296"/>
      <c r="F153" s="298">
        <v>2013</v>
      </c>
      <c r="G153" s="298" t="s">
        <v>877</v>
      </c>
      <c r="H153" s="299">
        <v>4000</v>
      </c>
      <c r="I153" s="72">
        <f>4000-500</f>
        <v>3500</v>
      </c>
      <c r="J153" s="257"/>
      <c r="K153" s="301"/>
      <c r="L153" s="301"/>
      <c r="M153" s="301">
        <v>500</v>
      </c>
      <c r="N153" s="301">
        <v>500</v>
      </c>
      <c r="O153" s="301">
        <v>500</v>
      </c>
      <c r="P153" s="301"/>
      <c r="Q153" s="301"/>
      <c r="R153" s="301"/>
      <c r="S153" s="257"/>
      <c r="T153" s="257"/>
      <c r="U153" s="301">
        <v>3310</v>
      </c>
      <c r="V153" s="301">
        <f>U153</f>
        <v>3310</v>
      </c>
      <c r="W153" s="301">
        <f>V153</f>
        <v>3310</v>
      </c>
      <c r="X153" s="301">
        <f>W153</f>
        <v>3310</v>
      </c>
      <c r="Y153" s="301">
        <f>X153</f>
        <v>3310</v>
      </c>
      <c r="Z153" s="301">
        <f>X153</f>
        <v>3310</v>
      </c>
      <c r="AA153" s="37" t="s">
        <v>364</v>
      </c>
      <c r="AB153" s="164">
        <v>3310</v>
      </c>
      <c r="AC153" s="164">
        <f t="shared" si="19"/>
        <v>0</v>
      </c>
      <c r="AD153" s="36">
        <f>X153</f>
        <v>3310</v>
      </c>
      <c r="AE153" s="36"/>
      <c r="AF153" s="36">
        <v>3310</v>
      </c>
      <c r="AG153" s="37"/>
      <c r="AH153" s="37">
        <f t="shared" si="21"/>
        <v>0</v>
      </c>
      <c r="AI153" s="37"/>
      <c r="AJ153" s="37"/>
      <c r="AK153" s="24">
        <f>W153-Y153</f>
        <v>0</v>
      </c>
      <c r="AL153" s="35">
        <f t="shared" si="22"/>
        <v>0</v>
      </c>
      <c r="AM153" s="167"/>
      <c r="AN153" s="168"/>
      <c r="AO153" s="168"/>
      <c r="AQ153" s="170"/>
      <c r="AR153" s="170"/>
    </row>
    <row r="154" spans="1:38" s="41" customFormat="1" ht="39" customHeight="1">
      <c r="A154" s="298">
        <v>17</v>
      </c>
      <c r="B154" s="359" t="s">
        <v>93</v>
      </c>
      <c r="C154" s="75" t="s">
        <v>66</v>
      </c>
      <c r="D154" s="75"/>
      <c r="E154" s="75"/>
      <c r="F154" s="394" t="s">
        <v>94</v>
      </c>
      <c r="G154" s="356" t="s">
        <v>95</v>
      </c>
      <c r="H154" s="299">
        <v>22652</v>
      </c>
      <c r="I154" s="371">
        <f>H154</f>
        <v>22652</v>
      </c>
      <c r="J154" s="70"/>
      <c r="K154" s="70"/>
      <c r="L154" s="70"/>
      <c r="M154" s="299">
        <v>5850</v>
      </c>
      <c r="N154" s="299"/>
      <c r="O154" s="299">
        <f>M154</f>
        <v>5850</v>
      </c>
      <c r="P154" s="299">
        <f>O154</f>
        <v>5850</v>
      </c>
      <c r="Q154" s="299">
        <v>3000</v>
      </c>
      <c r="R154" s="380"/>
      <c r="S154" s="70"/>
      <c r="T154" s="398"/>
      <c r="U154" s="343">
        <f>H154-M154-Q154</f>
        <v>13802</v>
      </c>
      <c r="V154" s="343">
        <f t="shared" si="23"/>
        <v>13802</v>
      </c>
      <c r="W154" s="343">
        <f>V154</f>
        <v>13802</v>
      </c>
      <c r="X154" s="343">
        <f>7493+1250</f>
        <v>8743</v>
      </c>
      <c r="Y154" s="343">
        <f>X154</f>
        <v>8743</v>
      </c>
      <c r="Z154" s="343"/>
      <c r="AA154" s="37"/>
      <c r="AB154" s="163">
        <v>12680</v>
      </c>
      <c r="AC154" s="314">
        <f t="shared" si="19"/>
        <v>-3937</v>
      </c>
      <c r="AD154" s="36"/>
      <c r="AE154" s="36"/>
      <c r="AF154" s="36">
        <v>8000</v>
      </c>
      <c r="AG154" s="37"/>
      <c r="AH154" s="37">
        <f t="shared" si="21"/>
        <v>5059</v>
      </c>
      <c r="AI154" s="37"/>
      <c r="AJ154" s="37"/>
      <c r="AK154" s="24"/>
      <c r="AL154" s="35">
        <f t="shared" si="22"/>
        <v>743</v>
      </c>
    </row>
    <row r="155" spans="1:38" s="41" customFormat="1" ht="39" customHeight="1">
      <c r="A155" s="298">
        <v>18</v>
      </c>
      <c r="B155" s="295" t="s">
        <v>297</v>
      </c>
      <c r="C155" s="75" t="s">
        <v>66</v>
      </c>
      <c r="D155" s="75"/>
      <c r="E155" s="75"/>
      <c r="F155" s="394" t="s">
        <v>79</v>
      </c>
      <c r="G155" s="26" t="s">
        <v>283</v>
      </c>
      <c r="H155" s="71">
        <v>50000</v>
      </c>
      <c r="I155" s="71">
        <v>10000</v>
      </c>
      <c r="J155" s="392"/>
      <c r="K155" s="393">
        <v>50000</v>
      </c>
      <c r="L155" s="71">
        <v>40000</v>
      </c>
      <c r="M155" s="376">
        <v>32320</v>
      </c>
      <c r="N155" s="376">
        <v>32320</v>
      </c>
      <c r="O155" s="376">
        <v>32283.527</v>
      </c>
      <c r="P155" s="376"/>
      <c r="Q155" s="350">
        <v>7680</v>
      </c>
      <c r="R155" s="380">
        <v>7680</v>
      </c>
      <c r="S155" s="72"/>
      <c r="T155" s="72">
        <v>7680</v>
      </c>
      <c r="U155" s="343">
        <v>10000</v>
      </c>
      <c r="V155" s="343">
        <f t="shared" si="23"/>
        <v>10000</v>
      </c>
      <c r="W155" s="343">
        <f>V155</f>
        <v>10000</v>
      </c>
      <c r="X155" s="343">
        <v>2500</v>
      </c>
      <c r="Y155" s="343">
        <f>X155</f>
        <v>2500</v>
      </c>
      <c r="Z155" s="343"/>
      <c r="AA155" s="37" t="s">
        <v>370</v>
      </c>
      <c r="AB155" s="163">
        <v>4000</v>
      </c>
      <c r="AC155" s="314">
        <f t="shared" si="19"/>
        <v>-1500</v>
      </c>
      <c r="AD155" s="36"/>
      <c r="AE155" s="36"/>
      <c r="AF155" s="36">
        <v>10000</v>
      </c>
      <c r="AG155" s="37"/>
      <c r="AH155" s="37">
        <f t="shared" si="21"/>
        <v>7500</v>
      </c>
      <c r="AI155" s="37"/>
      <c r="AJ155" s="37"/>
      <c r="AK155" s="24">
        <f>W155-Y155</f>
        <v>7500</v>
      </c>
      <c r="AL155" s="35">
        <f t="shared" si="22"/>
        <v>-7500</v>
      </c>
    </row>
    <row r="156" spans="1:243" s="40" customFormat="1" ht="69.75" customHeight="1">
      <c r="A156" s="298">
        <v>19</v>
      </c>
      <c r="B156" s="77" t="s">
        <v>473</v>
      </c>
      <c r="C156" s="75"/>
      <c r="D156" s="26"/>
      <c r="E156" s="26"/>
      <c r="F156" s="26"/>
      <c r="G156" s="26"/>
      <c r="H156" s="71">
        <v>8645</v>
      </c>
      <c r="I156" s="71">
        <f>H156</f>
        <v>8645</v>
      </c>
      <c r="J156" s="71"/>
      <c r="K156" s="71"/>
      <c r="L156" s="71"/>
      <c r="M156" s="71"/>
      <c r="N156" s="353"/>
      <c r="O156" s="71"/>
      <c r="P156" s="71"/>
      <c r="Q156" s="71">
        <v>6203</v>
      </c>
      <c r="R156" s="71"/>
      <c r="S156" s="71"/>
      <c r="T156" s="71"/>
      <c r="U156" s="71">
        <v>2442</v>
      </c>
      <c r="V156" s="71">
        <v>2442</v>
      </c>
      <c r="W156" s="71">
        <f>V156</f>
        <v>2442</v>
      </c>
      <c r="X156" s="71">
        <v>2442</v>
      </c>
      <c r="Y156" s="71">
        <f>X156</f>
        <v>2442</v>
      </c>
      <c r="Z156" s="13" t="s">
        <v>474</v>
      </c>
      <c r="AA156" s="13" t="s">
        <v>475</v>
      </c>
      <c r="AB156" s="164">
        <v>2442</v>
      </c>
      <c r="AC156" s="164">
        <f t="shared" si="19"/>
        <v>0</v>
      </c>
      <c r="AD156" s="42"/>
      <c r="AE156" s="42"/>
      <c r="AF156" s="42">
        <v>2442</v>
      </c>
      <c r="AG156" s="13"/>
      <c r="AH156" s="37">
        <f t="shared" si="21"/>
        <v>0</v>
      </c>
      <c r="AI156" s="37"/>
      <c r="AJ156" s="37"/>
      <c r="AK156" s="20">
        <v>1522</v>
      </c>
      <c r="AL156" s="35">
        <f t="shared" si="22"/>
        <v>0</v>
      </c>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row>
    <row r="157" spans="1:243" s="40" customFormat="1" ht="54" customHeight="1">
      <c r="A157" s="298">
        <v>20</v>
      </c>
      <c r="B157" s="77" t="s">
        <v>906</v>
      </c>
      <c r="C157" s="75"/>
      <c r="D157" s="26"/>
      <c r="E157" s="26"/>
      <c r="F157" s="26"/>
      <c r="G157" s="26" t="s">
        <v>907</v>
      </c>
      <c r="H157" s="71">
        <v>12790</v>
      </c>
      <c r="I157" s="71">
        <v>2850</v>
      </c>
      <c r="J157" s="71"/>
      <c r="K157" s="71"/>
      <c r="L157" s="71"/>
      <c r="M157" s="71"/>
      <c r="N157" s="353"/>
      <c r="O157" s="71"/>
      <c r="P157" s="71"/>
      <c r="Q157" s="71"/>
      <c r="R157" s="71"/>
      <c r="S157" s="71"/>
      <c r="T157" s="71"/>
      <c r="U157" s="71">
        <f>I157</f>
        <v>2850</v>
      </c>
      <c r="V157" s="71">
        <f>U157</f>
        <v>2850</v>
      </c>
      <c r="W157" s="71">
        <f>V157</f>
        <v>2850</v>
      </c>
      <c r="X157" s="71">
        <v>2320</v>
      </c>
      <c r="Y157" s="71">
        <f>X157</f>
        <v>2320</v>
      </c>
      <c r="Z157" s="13"/>
      <c r="AA157" s="37" t="s">
        <v>546</v>
      </c>
      <c r="AB157" s="164">
        <v>2320</v>
      </c>
      <c r="AC157" s="164">
        <f t="shared" si="19"/>
        <v>0</v>
      </c>
      <c r="AD157" s="36">
        <f>X157</f>
        <v>2320</v>
      </c>
      <c r="AE157" s="36"/>
      <c r="AF157" s="42"/>
      <c r="AG157" s="13"/>
      <c r="AH157" s="37"/>
      <c r="AI157" s="37"/>
      <c r="AJ157" s="37"/>
      <c r="AK157" s="20"/>
      <c r="AL157" s="35"/>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row>
    <row r="158" spans="1:243" s="40" customFormat="1" ht="54" customHeight="1">
      <c r="A158" s="298">
        <v>21</v>
      </c>
      <c r="B158" s="77" t="s">
        <v>1</v>
      </c>
      <c r="C158" s="75" t="s">
        <v>66</v>
      </c>
      <c r="D158" s="26" t="s">
        <v>198</v>
      </c>
      <c r="E158" s="26"/>
      <c r="F158" s="26" t="s">
        <v>197</v>
      </c>
      <c r="G158" s="26" t="s">
        <v>199</v>
      </c>
      <c r="H158" s="71">
        <v>20400</v>
      </c>
      <c r="I158" s="71">
        <v>7808</v>
      </c>
      <c r="J158" s="71"/>
      <c r="K158" s="71"/>
      <c r="L158" s="71"/>
      <c r="M158" s="71">
        <v>0</v>
      </c>
      <c r="N158" s="71"/>
      <c r="O158" s="71">
        <v>0</v>
      </c>
      <c r="P158" s="71"/>
      <c r="Q158" s="71">
        <v>10000</v>
      </c>
      <c r="R158" s="71">
        <v>850</v>
      </c>
      <c r="S158" s="71"/>
      <c r="T158" s="71"/>
      <c r="U158" s="71">
        <v>10400</v>
      </c>
      <c r="V158" s="71">
        <v>7808</v>
      </c>
      <c r="W158" s="71"/>
      <c r="X158" s="71">
        <v>3000</v>
      </c>
      <c r="Y158" s="71"/>
      <c r="Z158" s="71"/>
      <c r="AA158" s="37" t="s">
        <v>370</v>
      </c>
      <c r="AB158" s="164">
        <v>3500</v>
      </c>
      <c r="AC158" s="164">
        <f t="shared" si="19"/>
        <v>-500</v>
      </c>
      <c r="AD158" s="36"/>
      <c r="AE158" s="36"/>
      <c r="AF158" s="36">
        <v>1000</v>
      </c>
      <c r="AG158" s="37"/>
      <c r="AH158" s="37">
        <f>V158-X158</f>
        <v>4808</v>
      </c>
      <c r="AI158" s="37"/>
      <c r="AJ158" s="37"/>
      <c r="AK158" s="24">
        <f>W158-Y158</f>
        <v>0</v>
      </c>
      <c r="AL158" s="35">
        <f>+X158-AF158</f>
        <v>2000</v>
      </c>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c r="IG158" s="31"/>
      <c r="IH158" s="31"/>
      <c r="II158" s="31"/>
    </row>
    <row r="159" spans="1:243" s="40" customFormat="1" ht="51.75" customHeight="1">
      <c r="A159" s="298">
        <v>22</v>
      </c>
      <c r="B159" s="77" t="s">
        <v>935</v>
      </c>
      <c r="C159" s="75"/>
      <c r="D159" s="26"/>
      <c r="E159" s="26"/>
      <c r="F159" s="26"/>
      <c r="G159" s="13" t="s">
        <v>936</v>
      </c>
      <c r="H159" s="71">
        <v>50000</v>
      </c>
      <c r="I159" s="71">
        <v>20000</v>
      </c>
      <c r="J159" s="71"/>
      <c r="K159" s="71"/>
      <c r="L159" s="71"/>
      <c r="M159" s="71"/>
      <c r="N159" s="71"/>
      <c r="O159" s="71">
        <v>30000</v>
      </c>
      <c r="P159" s="71">
        <v>0</v>
      </c>
      <c r="Q159" s="71">
        <v>0</v>
      </c>
      <c r="R159" s="71"/>
      <c r="S159" s="71"/>
      <c r="T159" s="71"/>
      <c r="U159" s="71">
        <v>20000</v>
      </c>
      <c r="V159" s="71">
        <v>20000</v>
      </c>
      <c r="W159" s="71"/>
      <c r="X159" s="71">
        <v>3000</v>
      </c>
      <c r="Y159" s="71"/>
      <c r="Z159" s="71"/>
      <c r="AA159" s="37" t="s">
        <v>963</v>
      </c>
      <c r="AB159" s="164"/>
      <c r="AC159" s="164"/>
      <c r="AD159" s="36"/>
      <c r="AE159" s="36"/>
      <c r="AF159" s="36"/>
      <c r="AG159" s="37"/>
      <c r="AH159" s="37">
        <f>V159-X159</f>
        <v>17000</v>
      </c>
      <c r="AI159" s="37"/>
      <c r="AJ159" s="37"/>
      <c r="AK159" s="24"/>
      <c r="AL159" s="35"/>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c r="HY159" s="31"/>
      <c r="HZ159" s="31"/>
      <c r="IA159" s="31"/>
      <c r="IB159" s="31"/>
      <c r="IC159" s="31"/>
      <c r="ID159" s="31"/>
      <c r="IE159" s="31"/>
      <c r="IF159" s="31"/>
      <c r="IG159" s="31"/>
      <c r="IH159" s="31"/>
      <c r="II159" s="31"/>
    </row>
    <row r="160" spans="1:243" s="40" customFormat="1" ht="18" customHeight="1">
      <c r="A160" s="76"/>
      <c r="B160" s="77"/>
      <c r="C160" s="75"/>
      <c r="D160" s="26"/>
      <c r="E160" s="26"/>
      <c r="F160" s="26"/>
      <c r="G160" s="26"/>
      <c r="H160" s="71"/>
      <c r="I160" s="71"/>
      <c r="J160" s="71"/>
      <c r="K160" s="71"/>
      <c r="L160" s="71"/>
      <c r="M160" s="71"/>
      <c r="N160" s="71"/>
      <c r="O160" s="71"/>
      <c r="P160" s="71"/>
      <c r="Q160" s="71"/>
      <c r="R160" s="71"/>
      <c r="S160" s="71"/>
      <c r="T160" s="71"/>
      <c r="U160" s="71"/>
      <c r="V160" s="71"/>
      <c r="W160" s="71"/>
      <c r="X160" s="71"/>
      <c r="Y160" s="71"/>
      <c r="Z160" s="71"/>
      <c r="AA160" s="37"/>
      <c r="AB160" s="164"/>
      <c r="AC160" s="164">
        <f aca="true" t="shared" si="24" ref="AC160:AC224">+X160-AB160</f>
        <v>0</v>
      </c>
      <c r="AD160" s="36"/>
      <c r="AE160" s="36"/>
      <c r="AF160" s="36"/>
      <c r="AG160" s="37"/>
      <c r="AH160" s="37">
        <f>V160-X160</f>
        <v>0</v>
      </c>
      <c r="AI160" s="37"/>
      <c r="AJ160" s="37"/>
      <c r="AK160" s="24"/>
      <c r="AL160" s="35">
        <f>+X160-AF160</f>
        <v>0</v>
      </c>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c r="IC160" s="31"/>
      <c r="ID160" s="31"/>
      <c r="IE160" s="31"/>
      <c r="IF160" s="31"/>
      <c r="IG160" s="31"/>
      <c r="IH160" s="31"/>
      <c r="II160" s="31"/>
    </row>
    <row r="161" spans="1:38" s="273" customFormat="1" ht="23.25" customHeight="1">
      <c r="A161" s="382" t="s">
        <v>44</v>
      </c>
      <c r="B161" s="351" t="s">
        <v>356</v>
      </c>
      <c r="C161" s="54"/>
      <c r="D161" s="361"/>
      <c r="E161" s="361"/>
      <c r="F161" s="361"/>
      <c r="G161" s="361"/>
      <c r="H161" s="275">
        <f aca="true" t="shared" si="25" ref="H161:Y161">SUM(H162:H180)</f>
        <v>170578</v>
      </c>
      <c r="I161" s="275">
        <f t="shared" si="25"/>
        <v>74491</v>
      </c>
      <c r="J161" s="275">
        <f t="shared" si="25"/>
        <v>0</v>
      </c>
      <c r="K161" s="275">
        <f t="shared" si="25"/>
        <v>59290</v>
      </c>
      <c r="L161" s="275">
        <f t="shared" si="25"/>
        <v>0</v>
      </c>
      <c r="M161" s="275">
        <f t="shared" si="25"/>
        <v>61865</v>
      </c>
      <c r="N161" s="275">
        <f t="shared" si="25"/>
        <v>5000</v>
      </c>
      <c r="O161" s="275">
        <f t="shared" si="25"/>
        <v>85665</v>
      </c>
      <c r="P161" s="275">
        <f t="shared" si="25"/>
        <v>19735</v>
      </c>
      <c r="Q161" s="275">
        <f t="shared" si="25"/>
        <v>22200</v>
      </c>
      <c r="R161" s="275">
        <f t="shared" si="25"/>
        <v>3861.154</v>
      </c>
      <c r="S161" s="275">
        <f t="shared" si="25"/>
        <v>3861.154</v>
      </c>
      <c r="T161" s="275" t="e">
        <f t="shared" si="25"/>
        <v>#VALUE!</v>
      </c>
      <c r="U161" s="275">
        <f t="shared" si="25"/>
        <v>55776.2</v>
      </c>
      <c r="V161" s="275">
        <f t="shared" si="25"/>
        <v>52076.2</v>
      </c>
      <c r="W161" s="275">
        <f t="shared" si="25"/>
        <v>25886.2</v>
      </c>
      <c r="X161" s="275">
        <f t="shared" si="25"/>
        <v>27158.828999999998</v>
      </c>
      <c r="Y161" s="275">
        <f t="shared" si="25"/>
        <v>19912.328999999998</v>
      </c>
      <c r="Z161" s="275">
        <f>SUM(Z169:Z175)</f>
        <v>0</v>
      </c>
      <c r="AA161" s="33">
        <v>27158.790802755975</v>
      </c>
      <c r="AB161" s="316">
        <v>27158.529000000002</v>
      </c>
      <c r="AC161" s="317">
        <f t="shared" si="24"/>
        <v>0.2999999999956344</v>
      </c>
      <c r="AD161" s="32"/>
      <c r="AE161" s="32"/>
      <c r="AF161" s="32">
        <v>28761</v>
      </c>
      <c r="AG161" s="33"/>
      <c r="AH161" s="275">
        <f>SUM(AH169:AH175)</f>
        <v>3790</v>
      </c>
      <c r="AI161" s="37">
        <f>X161-AH161</f>
        <v>23368.828999999998</v>
      </c>
      <c r="AJ161" s="37"/>
      <c r="AK161" s="24">
        <f>X161-AA161</f>
        <v>0.03819724402274005</v>
      </c>
      <c r="AL161" s="35">
        <f>+X161-AF161</f>
        <v>-1602.171000000002</v>
      </c>
    </row>
    <row r="162" spans="1:38" s="273" customFormat="1" ht="51">
      <c r="A162" s="298">
        <v>1</v>
      </c>
      <c r="B162" s="399" t="s">
        <v>580</v>
      </c>
      <c r="C162" s="54"/>
      <c r="D162" s="361"/>
      <c r="E162" s="361"/>
      <c r="F162" s="361"/>
      <c r="G162" s="361"/>
      <c r="H162" s="275"/>
      <c r="I162" s="275"/>
      <c r="J162" s="275"/>
      <c r="K162" s="275"/>
      <c r="L162" s="275"/>
      <c r="M162" s="275"/>
      <c r="N162" s="275"/>
      <c r="O162" s="275"/>
      <c r="P162" s="275"/>
      <c r="Q162" s="275"/>
      <c r="R162" s="275"/>
      <c r="S162" s="275"/>
      <c r="T162" s="275"/>
      <c r="U162" s="275"/>
      <c r="V162" s="275"/>
      <c r="W162" s="275"/>
      <c r="X162" s="389">
        <v>335.238</v>
      </c>
      <c r="Y162" s="400">
        <f>X162</f>
        <v>335.238</v>
      </c>
      <c r="Z162" s="275"/>
      <c r="AA162" s="37" t="s">
        <v>520</v>
      </c>
      <c r="AB162" s="319">
        <v>335.238</v>
      </c>
      <c r="AC162" s="320">
        <f t="shared" si="24"/>
        <v>0</v>
      </c>
      <c r="AD162" s="36"/>
      <c r="AE162" s="36"/>
      <c r="AF162" s="32" t="s">
        <v>59</v>
      </c>
      <c r="AG162" s="33"/>
      <c r="AH162" s="275"/>
      <c r="AI162" s="37"/>
      <c r="AJ162" s="37"/>
      <c r="AK162" s="24"/>
      <c r="AL162" s="35"/>
    </row>
    <row r="163" spans="1:38" s="273" customFormat="1" ht="37.5" customHeight="1">
      <c r="A163" s="298">
        <v>2</v>
      </c>
      <c r="B163" s="390" t="s">
        <v>581</v>
      </c>
      <c r="C163" s="54"/>
      <c r="D163" s="361"/>
      <c r="E163" s="361"/>
      <c r="F163" s="361"/>
      <c r="G163" s="361"/>
      <c r="H163" s="275"/>
      <c r="I163" s="275"/>
      <c r="J163" s="275"/>
      <c r="K163" s="275"/>
      <c r="L163" s="275"/>
      <c r="M163" s="275"/>
      <c r="N163" s="275"/>
      <c r="O163" s="275"/>
      <c r="P163" s="275"/>
      <c r="Q163" s="275"/>
      <c r="R163" s="275"/>
      <c r="S163" s="275"/>
      <c r="T163" s="275"/>
      <c r="U163" s="275"/>
      <c r="V163" s="275"/>
      <c r="W163" s="275"/>
      <c r="X163" s="389">
        <v>796</v>
      </c>
      <c r="Y163" s="389">
        <f>X163</f>
        <v>796</v>
      </c>
      <c r="Z163" s="275"/>
      <c r="AA163" s="37" t="s">
        <v>520</v>
      </c>
      <c r="AB163" s="319">
        <v>796</v>
      </c>
      <c r="AC163" s="320">
        <f t="shared" si="24"/>
        <v>0</v>
      </c>
      <c r="AD163" s="36"/>
      <c r="AE163" s="36"/>
      <c r="AF163" s="32"/>
      <c r="AG163" s="33"/>
      <c r="AH163" s="275"/>
      <c r="AI163" s="37"/>
      <c r="AJ163" s="37"/>
      <c r="AK163" s="24"/>
      <c r="AL163" s="35"/>
    </row>
    <row r="164" spans="1:38" s="273" customFormat="1" ht="46.5" customHeight="1">
      <c r="A164" s="298">
        <v>3</v>
      </c>
      <c r="B164" s="390" t="s">
        <v>584</v>
      </c>
      <c r="C164" s="54"/>
      <c r="D164" s="361"/>
      <c r="E164" s="361"/>
      <c r="F164" s="361"/>
      <c r="G164" s="361"/>
      <c r="H164" s="275"/>
      <c r="I164" s="275"/>
      <c r="J164" s="275"/>
      <c r="K164" s="275"/>
      <c r="L164" s="275"/>
      <c r="M164" s="275"/>
      <c r="N164" s="275"/>
      <c r="O164" s="275"/>
      <c r="P164" s="275"/>
      <c r="Q164" s="275"/>
      <c r="R164" s="275"/>
      <c r="S164" s="275"/>
      <c r="T164" s="275"/>
      <c r="U164" s="275"/>
      <c r="V164" s="275"/>
      <c r="W164" s="275"/>
      <c r="X164" s="389">
        <v>165</v>
      </c>
      <c r="Y164" s="389">
        <f>X164</f>
        <v>165</v>
      </c>
      <c r="Z164" s="275"/>
      <c r="AA164" s="37" t="s">
        <v>520</v>
      </c>
      <c r="AB164" s="319">
        <v>165</v>
      </c>
      <c r="AC164" s="320">
        <f t="shared" si="24"/>
        <v>0</v>
      </c>
      <c r="AD164" s="36">
        <f>X164</f>
        <v>165</v>
      </c>
      <c r="AE164" s="36"/>
      <c r="AF164" s="32"/>
      <c r="AG164" s="33"/>
      <c r="AH164" s="275"/>
      <c r="AI164" s="37"/>
      <c r="AJ164" s="37"/>
      <c r="AK164" s="24"/>
      <c r="AL164" s="35"/>
    </row>
    <row r="165" spans="1:38" s="273" customFormat="1" ht="45" customHeight="1">
      <c r="A165" s="298">
        <v>4</v>
      </c>
      <c r="B165" s="390" t="s">
        <v>625</v>
      </c>
      <c r="C165" s="54"/>
      <c r="D165" s="361"/>
      <c r="E165" s="361"/>
      <c r="F165" s="361"/>
      <c r="G165" s="361"/>
      <c r="H165" s="343"/>
      <c r="I165" s="343"/>
      <c r="J165" s="343"/>
      <c r="K165" s="343"/>
      <c r="L165" s="343"/>
      <c r="M165" s="343"/>
      <c r="N165" s="343"/>
      <c r="O165" s="343"/>
      <c r="P165" s="343"/>
      <c r="Q165" s="343"/>
      <c r="R165" s="343"/>
      <c r="S165" s="343"/>
      <c r="T165" s="343"/>
      <c r="U165" s="343"/>
      <c r="V165" s="343"/>
      <c r="W165" s="343"/>
      <c r="X165" s="343">
        <v>5.891</v>
      </c>
      <c r="Y165" s="343">
        <f>X165</f>
        <v>5.891</v>
      </c>
      <c r="Z165" s="275"/>
      <c r="AA165" s="37" t="s">
        <v>520</v>
      </c>
      <c r="AB165" s="163">
        <v>5.891</v>
      </c>
      <c r="AC165" s="314">
        <f t="shared" si="24"/>
        <v>0</v>
      </c>
      <c r="AD165" s="36"/>
      <c r="AE165" s="36"/>
      <c r="AF165" s="32"/>
      <c r="AG165" s="33"/>
      <c r="AH165" s="275"/>
      <c r="AI165" s="37"/>
      <c r="AJ165" s="37"/>
      <c r="AK165" s="24"/>
      <c r="AL165" s="35"/>
    </row>
    <row r="166" spans="1:38" s="273" customFormat="1" ht="51">
      <c r="A166" s="298">
        <v>5</v>
      </c>
      <c r="B166" s="226" t="s">
        <v>670</v>
      </c>
      <c r="C166" s="54"/>
      <c r="D166" s="361"/>
      <c r="E166" s="361"/>
      <c r="F166" s="361"/>
      <c r="G166" s="229" t="s">
        <v>759</v>
      </c>
      <c r="H166" s="343">
        <v>5860</v>
      </c>
      <c r="I166" s="343">
        <v>1181</v>
      </c>
      <c r="J166" s="343"/>
      <c r="K166" s="343"/>
      <c r="L166" s="343"/>
      <c r="M166" s="343"/>
      <c r="N166" s="343"/>
      <c r="O166" s="343"/>
      <c r="P166" s="343"/>
      <c r="Q166" s="343"/>
      <c r="R166" s="343"/>
      <c r="S166" s="343"/>
      <c r="T166" s="343"/>
      <c r="U166" s="401">
        <v>418.9</v>
      </c>
      <c r="V166" s="401">
        <v>418.9</v>
      </c>
      <c r="W166" s="401">
        <v>418.9</v>
      </c>
      <c r="X166" s="401">
        <v>418.9</v>
      </c>
      <c r="Y166" s="401">
        <v>418.9</v>
      </c>
      <c r="Z166" s="275"/>
      <c r="AA166" s="37" t="s">
        <v>520</v>
      </c>
      <c r="AB166" s="163">
        <v>418.9</v>
      </c>
      <c r="AC166" s="314">
        <f t="shared" si="24"/>
        <v>0</v>
      </c>
      <c r="AD166" s="36">
        <f>Y166</f>
        <v>418.9</v>
      </c>
      <c r="AE166" s="36"/>
      <c r="AF166" s="32"/>
      <c r="AG166" s="33"/>
      <c r="AH166" s="275"/>
      <c r="AI166" s="37"/>
      <c r="AJ166" s="37"/>
      <c r="AK166" s="24"/>
      <c r="AL166" s="35"/>
    </row>
    <row r="167" spans="1:38" s="273" customFormat="1" ht="89.25">
      <c r="A167" s="298">
        <v>6</v>
      </c>
      <c r="B167" s="226" t="s">
        <v>677</v>
      </c>
      <c r="C167" s="54"/>
      <c r="D167" s="361"/>
      <c r="E167" s="361"/>
      <c r="F167" s="361"/>
      <c r="G167" s="216" t="s">
        <v>916</v>
      </c>
      <c r="H167" s="343">
        <v>3528</v>
      </c>
      <c r="I167" s="343">
        <v>280</v>
      </c>
      <c r="J167" s="343"/>
      <c r="K167" s="343"/>
      <c r="L167" s="343"/>
      <c r="M167" s="343"/>
      <c r="N167" s="343"/>
      <c r="O167" s="343"/>
      <c r="P167" s="343"/>
      <c r="Q167" s="343"/>
      <c r="R167" s="343"/>
      <c r="S167" s="343"/>
      <c r="T167" s="343"/>
      <c r="U167" s="401">
        <v>280</v>
      </c>
      <c r="V167" s="401">
        <v>280</v>
      </c>
      <c r="W167" s="401">
        <v>280</v>
      </c>
      <c r="X167" s="401">
        <v>280</v>
      </c>
      <c r="Y167" s="401">
        <v>280</v>
      </c>
      <c r="Z167" s="275"/>
      <c r="AA167" s="37" t="s">
        <v>546</v>
      </c>
      <c r="AB167" s="163">
        <v>280</v>
      </c>
      <c r="AC167" s="314">
        <f t="shared" si="24"/>
        <v>0</v>
      </c>
      <c r="AD167" s="36">
        <f>Y167</f>
        <v>280</v>
      </c>
      <c r="AE167" s="36"/>
      <c r="AF167" s="32"/>
      <c r="AG167" s="33"/>
      <c r="AH167" s="275"/>
      <c r="AI167" s="37"/>
      <c r="AJ167" s="37"/>
      <c r="AK167" s="24"/>
      <c r="AL167" s="35"/>
    </row>
    <row r="168" spans="1:42" s="41" customFormat="1" ht="38.25">
      <c r="A168" s="298">
        <v>7</v>
      </c>
      <c r="B168" s="226" t="s">
        <v>941</v>
      </c>
      <c r="C168" s="54"/>
      <c r="D168" s="361"/>
      <c r="E168" s="361"/>
      <c r="F168" s="361"/>
      <c r="G168" s="216"/>
      <c r="H168" s="343"/>
      <c r="I168" s="343"/>
      <c r="J168" s="343"/>
      <c r="K168" s="343"/>
      <c r="L168" s="343"/>
      <c r="M168" s="343"/>
      <c r="N168" s="343"/>
      <c r="O168" s="343"/>
      <c r="P168" s="343"/>
      <c r="Q168" s="343"/>
      <c r="R168" s="343"/>
      <c r="S168" s="343"/>
      <c r="T168" s="343"/>
      <c r="U168" s="401">
        <v>497.3</v>
      </c>
      <c r="V168" s="401">
        <v>497.3</v>
      </c>
      <c r="W168" s="401">
        <v>497.3</v>
      </c>
      <c r="X168" s="401">
        <v>497.3</v>
      </c>
      <c r="Y168" s="401">
        <f aca="true" t="shared" si="26" ref="Y168:Y175">X168</f>
        <v>497.3</v>
      </c>
      <c r="Z168" s="275"/>
      <c r="AA168" s="37" t="s">
        <v>942</v>
      </c>
      <c r="AB168" s="163">
        <v>497.3</v>
      </c>
      <c r="AC168" s="314">
        <f t="shared" si="24"/>
        <v>0</v>
      </c>
      <c r="AD168" s="36"/>
      <c r="AE168" s="36"/>
      <c r="AF168" s="36">
        <f>2800+Z168</f>
        <v>2800</v>
      </c>
      <c r="AG168" s="37">
        <f>G168-S168-AF168</f>
        <v>-2800</v>
      </c>
      <c r="AH168" s="37"/>
      <c r="AI168" s="37" t="s">
        <v>559</v>
      </c>
      <c r="AJ168" s="37">
        <v>2800</v>
      </c>
      <c r="AK168" s="24">
        <f>+U168-AJ168</f>
        <v>-2302.7</v>
      </c>
      <c r="AL168" s="35">
        <v>2800</v>
      </c>
      <c r="AM168" s="41">
        <f>+U168-AL168</f>
        <v>-2302.7</v>
      </c>
      <c r="AN168" s="41">
        <f>+G168-Q168</f>
        <v>0</v>
      </c>
      <c r="AP168" s="41" t="s">
        <v>560</v>
      </c>
    </row>
    <row r="169" spans="1:38" s="41" customFormat="1" ht="38.25">
      <c r="A169" s="298">
        <v>8</v>
      </c>
      <c r="B169" s="226" t="s">
        <v>943</v>
      </c>
      <c r="C169" s="54"/>
      <c r="D169" s="361"/>
      <c r="E169" s="361"/>
      <c r="F169" s="361"/>
      <c r="G169" s="216"/>
      <c r="H169" s="343"/>
      <c r="I169" s="343"/>
      <c r="J169" s="343"/>
      <c r="K169" s="343"/>
      <c r="L169" s="343"/>
      <c r="M169" s="343"/>
      <c r="N169" s="343"/>
      <c r="O169" s="343"/>
      <c r="P169" s="343"/>
      <c r="Q169" s="343"/>
      <c r="R169" s="343"/>
      <c r="S169" s="343"/>
      <c r="T169" s="343"/>
      <c r="U169" s="401">
        <v>300</v>
      </c>
      <c r="V169" s="401">
        <v>300</v>
      </c>
      <c r="W169" s="401">
        <v>300</v>
      </c>
      <c r="X169" s="401">
        <v>300</v>
      </c>
      <c r="Y169" s="401">
        <f t="shared" si="26"/>
        <v>300</v>
      </c>
      <c r="Z169" s="275"/>
      <c r="AA169" s="37" t="s">
        <v>942</v>
      </c>
      <c r="AB169" s="163">
        <v>300</v>
      </c>
      <c r="AC169" s="314">
        <f t="shared" si="24"/>
        <v>0</v>
      </c>
      <c r="AD169" s="36">
        <f>+X169</f>
        <v>300</v>
      </c>
      <c r="AE169" s="36"/>
      <c r="AF169" s="36">
        <v>7738</v>
      </c>
      <c r="AG169" s="37"/>
      <c r="AH169" s="37">
        <f>V169-X169</f>
        <v>0</v>
      </c>
      <c r="AI169" s="37"/>
      <c r="AJ169" s="37"/>
      <c r="AK169" s="24"/>
      <c r="AL169" s="35">
        <f>+X169-AF169</f>
        <v>-7438</v>
      </c>
    </row>
    <row r="170" spans="1:50" s="31" customFormat="1" ht="38.25">
      <c r="A170" s="298">
        <v>9</v>
      </c>
      <c r="B170" s="226" t="s">
        <v>944</v>
      </c>
      <c r="C170" s="54"/>
      <c r="D170" s="361"/>
      <c r="E170" s="361"/>
      <c r="F170" s="361"/>
      <c r="G170" s="216"/>
      <c r="H170" s="343"/>
      <c r="I170" s="343"/>
      <c r="J170" s="343"/>
      <c r="K170" s="343"/>
      <c r="L170" s="343"/>
      <c r="M170" s="343"/>
      <c r="N170" s="343"/>
      <c r="O170" s="343"/>
      <c r="P170" s="343"/>
      <c r="Q170" s="343"/>
      <c r="R170" s="343"/>
      <c r="S170" s="343"/>
      <c r="T170" s="343"/>
      <c r="U170" s="401">
        <v>500</v>
      </c>
      <c r="V170" s="401">
        <v>500</v>
      </c>
      <c r="W170" s="401">
        <v>500</v>
      </c>
      <c r="X170" s="401">
        <v>500</v>
      </c>
      <c r="Y170" s="401">
        <f t="shared" si="26"/>
        <v>500</v>
      </c>
      <c r="Z170" s="275"/>
      <c r="AA170" s="37" t="s">
        <v>942</v>
      </c>
      <c r="AB170" s="164">
        <v>500</v>
      </c>
      <c r="AC170" s="164">
        <f t="shared" si="24"/>
        <v>0</v>
      </c>
      <c r="AD170" s="36"/>
      <c r="AE170" s="36"/>
      <c r="AF170" s="36">
        <v>700</v>
      </c>
      <c r="AG170" s="37"/>
      <c r="AH170" s="37">
        <f>V170-X170</f>
        <v>0</v>
      </c>
      <c r="AI170" s="37"/>
      <c r="AJ170" s="37"/>
      <c r="AK170" s="24">
        <f>W170-Y170</f>
        <v>0</v>
      </c>
      <c r="AL170" s="35">
        <f>+X170-AF170</f>
        <v>-200</v>
      </c>
      <c r="AM170" s="278"/>
      <c r="AN170" s="278"/>
      <c r="AO170" s="278"/>
      <c r="AP170" s="278"/>
      <c r="AQ170" s="278"/>
      <c r="AR170" s="166"/>
      <c r="AS170" s="279"/>
      <c r="AT170" s="25"/>
      <c r="AU170" s="25"/>
      <c r="AW170" s="170"/>
      <c r="AX170" s="170"/>
    </row>
    <row r="171" spans="1:38" s="41" customFormat="1" ht="37.5" customHeight="1">
      <c r="A171" s="298">
        <v>10</v>
      </c>
      <c r="B171" s="402" t="s">
        <v>340</v>
      </c>
      <c r="C171" s="26" t="s">
        <v>6</v>
      </c>
      <c r="D171" s="25"/>
      <c r="E171" s="25"/>
      <c r="F171" s="75" t="s">
        <v>22</v>
      </c>
      <c r="G171" s="403" t="s">
        <v>341</v>
      </c>
      <c r="H171" s="404">
        <v>14900</v>
      </c>
      <c r="I171" s="404">
        <v>700</v>
      </c>
      <c r="J171" s="404"/>
      <c r="K171" s="404"/>
      <c r="L171" s="404"/>
      <c r="M171" s="404">
        <v>8100</v>
      </c>
      <c r="N171" s="404"/>
      <c r="O171" s="404">
        <v>8100</v>
      </c>
      <c r="P171" s="404"/>
      <c r="Q171" s="301">
        <v>6100</v>
      </c>
      <c r="R171" s="301"/>
      <c r="S171" s="301"/>
      <c r="T171" s="301"/>
      <c r="U171" s="301">
        <v>700</v>
      </c>
      <c r="V171" s="301">
        <f aca="true" t="shared" si="27" ref="V171:W174">U171</f>
        <v>700</v>
      </c>
      <c r="W171" s="301">
        <f t="shared" si="27"/>
        <v>700</v>
      </c>
      <c r="X171" s="301">
        <f>V171</f>
        <v>700</v>
      </c>
      <c r="Y171" s="257">
        <f t="shared" si="26"/>
        <v>700</v>
      </c>
      <c r="Z171" s="257"/>
      <c r="AA171" s="37" t="s">
        <v>364</v>
      </c>
      <c r="AB171" s="163">
        <v>700</v>
      </c>
      <c r="AC171" s="314">
        <f t="shared" si="24"/>
        <v>0</v>
      </c>
      <c r="AD171" s="36"/>
      <c r="AE171" s="36"/>
      <c r="AF171" s="36">
        <v>920</v>
      </c>
      <c r="AG171" s="37"/>
      <c r="AH171" s="37">
        <f>V171-X171</f>
        <v>0</v>
      </c>
      <c r="AI171" s="37"/>
      <c r="AJ171" s="37"/>
      <c r="AK171" s="24">
        <f>W171-Y171</f>
        <v>0</v>
      </c>
      <c r="AL171" s="35">
        <f>+X171-AF171</f>
        <v>-220</v>
      </c>
    </row>
    <row r="172" spans="1:38" s="41" customFormat="1" ht="41.25" customHeight="1">
      <c r="A172" s="298">
        <v>11</v>
      </c>
      <c r="B172" s="295" t="s">
        <v>112</v>
      </c>
      <c r="C172" s="355" t="s">
        <v>6</v>
      </c>
      <c r="D172" s="54"/>
      <c r="E172" s="54"/>
      <c r="F172" s="75" t="s">
        <v>336</v>
      </c>
      <c r="G172" s="356" t="s">
        <v>113</v>
      </c>
      <c r="H172" s="404">
        <v>16000</v>
      </c>
      <c r="I172" s="404">
        <f>H172</f>
        <v>16000</v>
      </c>
      <c r="J172" s="404"/>
      <c r="K172" s="404"/>
      <c r="L172" s="404"/>
      <c r="M172" s="404">
        <f>O172</f>
        <v>12935</v>
      </c>
      <c r="N172" s="404"/>
      <c r="O172" s="404">
        <v>12935</v>
      </c>
      <c r="P172" s="404">
        <f>O172</f>
        <v>12935</v>
      </c>
      <c r="Q172" s="72">
        <v>2000</v>
      </c>
      <c r="R172" s="72"/>
      <c r="S172" s="72"/>
      <c r="T172" s="72"/>
      <c r="U172" s="343">
        <v>900</v>
      </c>
      <c r="V172" s="343">
        <f t="shared" si="27"/>
        <v>900</v>
      </c>
      <c r="W172" s="343">
        <f t="shared" si="27"/>
        <v>900</v>
      </c>
      <c r="X172" s="343">
        <f>W172</f>
        <v>900</v>
      </c>
      <c r="Y172" s="343">
        <f t="shared" si="26"/>
        <v>900</v>
      </c>
      <c r="Z172" s="343"/>
      <c r="AA172" s="37" t="s">
        <v>364</v>
      </c>
      <c r="AB172" s="163">
        <v>900</v>
      </c>
      <c r="AC172" s="314">
        <f t="shared" si="24"/>
        <v>0</v>
      </c>
      <c r="AD172" s="36"/>
      <c r="AE172" s="36"/>
      <c r="AF172" s="36"/>
      <c r="AG172" s="37"/>
      <c r="AH172" s="37"/>
      <c r="AI172" s="37"/>
      <c r="AJ172" s="37"/>
      <c r="AK172" s="24"/>
      <c r="AL172" s="35"/>
    </row>
    <row r="173" spans="1:38" s="41" customFormat="1" ht="89.25">
      <c r="A173" s="298">
        <v>12</v>
      </c>
      <c r="B173" s="349" t="s">
        <v>180</v>
      </c>
      <c r="C173" s="355" t="s">
        <v>6</v>
      </c>
      <c r="D173" s="54"/>
      <c r="E173" s="54"/>
      <c r="F173" s="54"/>
      <c r="G173" s="75" t="s">
        <v>975</v>
      </c>
      <c r="H173" s="404">
        <v>51555</v>
      </c>
      <c r="I173" s="404">
        <f>U173+700</f>
        <v>5700</v>
      </c>
      <c r="J173" s="404" t="s">
        <v>111</v>
      </c>
      <c r="K173" s="404">
        <v>59290</v>
      </c>
      <c r="L173" s="404"/>
      <c r="M173" s="404">
        <v>33830</v>
      </c>
      <c r="N173" s="404"/>
      <c r="O173" s="404">
        <v>48830</v>
      </c>
      <c r="P173" s="404"/>
      <c r="Q173" s="404">
        <v>700</v>
      </c>
      <c r="R173" s="72"/>
      <c r="S173" s="72"/>
      <c r="T173" s="72"/>
      <c r="U173" s="343">
        <v>5000</v>
      </c>
      <c r="V173" s="343">
        <f>U173</f>
        <v>5000</v>
      </c>
      <c r="W173" s="343">
        <f>V173</f>
        <v>5000</v>
      </c>
      <c r="X173" s="343">
        <v>4000</v>
      </c>
      <c r="Y173" s="343">
        <f>X173</f>
        <v>4000</v>
      </c>
      <c r="Z173" s="343"/>
      <c r="AA173" s="37"/>
      <c r="AB173" s="163">
        <v>4703</v>
      </c>
      <c r="AC173" s="314">
        <f>+X173-AB173</f>
        <v>-703</v>
      </c>
      <c r="AD173" s="36"/>
      <c r="AE173" s="36">
        <f>W173-X173</f>
        <v>1000</v>
      </c>
      <c r="AF173" s="36">
        <v>2600</v>
      </c>
      <c r="AG173" s="37"/>
      <c r="AH173" s="37">
        <f>V173-X173</f>
        <v>1000</v>
      </c>
      <c r="AI173" s="37"/>
      <c r="AJ173" s="37"/>
      <c r="AK173" s="24">
        <f>W173-Y173</f>
        <v>1000</v>
      </c>
      <c r="AL173" s="35">
        <f>+X173-AF173</f>
        <v>1400</v>
      </c>
    </row>
    <row r="174" spans="1:38" s="41" customFormat="1" ht="42" customHeight="1">
      <c r="A174" s="298">
        <v>13</v>
      </c>
      <c r="B174" s="349" t="s">
        <v>555</v>
      </c>
      <c r="C174" s="355"/>
      <c r="D174" s="54" t="s">
        <v>556</v>
      </c>
      <c r="E174" s="54" t="s">
        <v>557</v>
      </c>
      <c r="F174" s="54" t="s">
        <v>558</v>
      </c>
      <c r="G174" s="75" t="s">
        <v>558</v>
      </c>
      <c r="H174" s="343">
        <v>11650</v>
      </c>
      <c r="I174" s="343">
        <f>H174</f>
        <v>11650</v>
      </c>
      <c r="J174" s="343"/>
      <c r="K174" s="343"/>
      <c r="L174" s="343">
        <v>0</v>
      </c>
      <c r="M174" s="343">
        <v>3500</v>
      </c>
      <c r="N174" s="343">
        <v>1500</v>
      </c>
      <c r="O174" s="343">
        <v>6800</v>
      </c>
      <c r="P174" s="343">
        <f>O174</f>
        <v>6800</v>
      </c>
      <c r="Q174" s="343"/>
      <c r="R174" s="343">
        <v>3861.154</v>
      </c>
      <c r="S174" s="343">
        <v>3861.154</v>
      </c>
      <c r="T174" s="343" t="e">
        <f>G174-Q174</f>
        <v>#VALUE!</v>
      </c>
      <c r="U174" s="343">
        <v>4500</v>
      </c>
      <c r="V174" s="343">
        <f t="shared" si="27"/>
        <v>4500</v>
      </c>
      <c r="W174" s="343">
        <f t="shared" si="27"/>
        <v>4500</v>
      </c>
      <c r="X174" s="343">
        <v>3294</v>
      </c>
      <c r="Y174" s="343">
        <f t="shared" si="26"/>
        <v>3294</v>
      </c>
      <c r="Z174" s="343"/>
      <c r="AA174" s="37"/>
      <c r="AB174" s="312">
        <v>4000</v>
      </c>
      <c r="AC174" s="313">
        <f t="shared" si="24"/>
        <v>-706</v>
      </c>
      <c r="AD174" s="36"/>
      <c r="AE174" s="36">
        <f>W174-X174</f>
        <v>1206</v>
      </c>
      <c r="AF174" s="36">
        <v>142.92770000000002</v>
      </c>
      <c r="AG174" s="37">
        <f>V174/100*35</f>
        <v>1575</v>
      </c>
      <c r="AH174" s="37"/>
      <c r="AI174" s="37"/>
      <c r="AJ174" s="37"/>
      <c r="AK174" s="24"/>
      <c r="AL174" s="35">
        <f>+X174-AF174</f>
        <v>3151.0723</v>
      </c>
    </row>
    <row r="175" spans="1:38" s="41" customFormat="1" ht="43.5" customHeight="1">
      <c r="A175" s="298">
        <v>14</v>
      </c>
      <c r="B175" s="405" t="s">
        <v>878</v>
      </c>
      <c r="C175" s="355"/>
      <c r="D175" s="54"/>
      <c r="E175" s="54"/>
      <c r="F175" s="75"/>
      <c r="G175" s="356" t="s">
        <v>879</v>
      </c>
      <c r="H175" s="404">
        <v>14995</v>
      </c>
      <c r="I175" s="404">
        <f>U175</f>
        <v>5290</v>
      </c>
      <c r="J175" s="404"/>
      <c r="K175" s="404"/>
      <c r="L175" s="404"/>
      <c r="M175" s="404"/>
      <c r="N175" s="404"/>
      <c r="O175" s="404">
        <v>9000</v>
      </c>
      <c r="P175" s="404"/>
      <c r="Q175" s="72"/>
      <c r="R175" s="72"/>
      <c r="S175" s="72"/>
      <c r="T175" s="72"/>
      <c r="U175" s="343">
        <f>V175</f>
        <v>5290</v>
      </c>
      <c r="V175" s="343">
        <v>5290</v>
      </c>
      <c r="W175" s="343">
        <f>V175</f>
        <v>5290</v>
      </c>
      <c r="X175" s="343">
        <f>3000-500</f>
        <v>2500</v>
      </c>
      <c r="Y175" s="343">
        <f t="shared" si="26"/>
        <v>2500</v>
      </c>
      <c r="Z175" s="343"/>
      <c r="AA175" s="37" t="s">
        <v>59</v>
      </c>
      <c r="AB175" s="163">
        <v>2500</v>
      </c>
      <c r="AC175" s="314">
        <f t="shared" si="24"/>
        <v>0</v>
      </c>
      <c r="AD175" s="36"/>
      <c r="AE175" s="36">
        <f>W175-X175</f>
        <v>2790</v>
      </c>
      <c r="AF175" s="36">
        <v>2600</v>
      </c>
      <c r="AG175" s="37"/>
      <c r="AH175" s="37">
        <f>V175-X175</f>
        <v>2790</v>
      </c>
      <c r="AI175" s="37"/>
      <c r="AJ175" s="37"/>
      <c r="AK175" s="24">
        <f>W175-Y175</f>
        <v>2790</v>
      </c>
      <c r="AL175" s="35">
        <f>+X175-AF175</f>
        <v>-100</v>
      </c>
    </row>
    <row r="176" spans="1:38" s="41" customFormat="1" ht="47.25" customHeight="1">
      <c r="A176" s="298">
        <v>15</v>
      </c>
      <c r="B176" s="405" t="s">
        <v>988</v>
      </c>
      <c r="C176" s="355"/>
      <c r="D176" s="54"/>
      <c r="E176" s="54"/>
      <c r="F176" s="75"/>
      <c r="G176" s="356" t="s">
        <v>990</v>
      </c>
      <c r="H176" s="404">
        <v>6800</v>
      </c>
      <c r="I176" s="404">
        <v>4000</v>
      </c>
      <c r="J176" s="404"/>
      <c r="K176" s="404"/>
      <c r="L176" s="404"/>
      <c r="M176" s="404"/>
      <c r="N176" s="404"/>
      <c r="O176" s="404"/>
      <c r="P176" s="404" t="s">
        <v>59</v>
      </c>
      <c r="Q176" s="72">
        <v>1500</v>
      </c>
      <c r="R176" s="72"/>
      <c r="S176" s="72"/>
      <c r="T176" s="72"/>
      <c r="U176" s="343">
        <v>4000</v>
      </c>
      <c r="V176" s="343">
        <f>U176</f>
        <v>4000</v>
      </c>
      <c r="W176" s="343">
        <v>1500</v>
      </c>
      <c r="X176" s="343">
        <f>W176</f>
        <v>1500</v>
      </c>
      <c r="Y176" s="343">
        <f>X176</f>
        <v>1500</v>
      </c>
      <c r="Z176" s="343"/>
      <c r="AA176" s="37" t="s">
        <v>991</v>
      </c>
      <c r="AB176" s="163"/>
      <c r="AC176" s="314"/>
      <c r="AD176" s="36"/>
      <c r="AE176" s="36"/>
      <c r="AF176" s="36"/>
      <c r="AG176" s="37"/>
      <c r="AH176" s="37"/>
      <c r="AI176" s="37"/>
      <c r="AJ176" s="37"/>
      <c r="AK176" s="24"/>
      <c r="AL176" s="35"/>
    </row>
    <row r="177" spans="1:38" s="41" customFormat="1" ht="62.25" customHeight="1">
      <c r="A177" s="298">
        <v>16</v>
      </c>
      <c r="B177" s="348" t="s">
        <v>479</v>
      </c>
      <c r="C177" s="355" t="s">
        <v>6</v>
      </c>
      <c r="D177" s="54"/>
      <c r="E177" s="54"/>
      <c r="F177" s="75"/>
      <c r="G177" s="356" t="s">
        <v>920</v>
      </c>
      <c r="H177" s="406">
        <v>14700</v>
      </c>
      <c r="I177" s="72">
        <v>6000</v>
      </c>
      <c r="J177" s="72"/>
      <c r="K177" s="72"/>
      <c r="L177" s="72"/>
      <c r="M177" s="72"/>
      <c r="N177" s="72"/>
      <c r="O177" s="72"/>
      <c r="P177" s="72"/>
      <c r="Q177" s="376">
        <v>5000</v>
      </c>
      <c r="R177" s="72"/>
      <c r="S177" s="72"/>
      <c r="T177" s="72"/>
      <c r="U177" s="406">
        <f>H177-Q177</f>
        <v>9700</v>
      </c>
      <c r="V177" s="407">
        <f>I177</f>
        <v>6000</v>
      </c>
      <c r="W177" s="343"/>
      <c r="X177" s="73">
        <v>2000</v>
      </c>
      <c r="Y177" s="343"/>
      <c r="Z177" s="343"/>
      <c r="AA177" s="37" t="s">
        <v>919</v>
      </c>
      <c r="AB177" s="312">
        <v>2000</v>
      </c>
      <c r="AC177" s="314">
        <f t="shared" si="24"/>
        <v>0</v>
      </c>
      <c r="AD177" s="36"/>
      <c r="AE177" s="36">
        <f>V177-X177</f>
        <v>4000</v>
      </c>
      <c r="AF177" s="36"/>
      <c r="AG177" s="37"/>
      <c r="AH177" s="37">
        <f>V177-X177</f>
        <v>4000</v>
      </c>
      <c r="AI177" s="37"/>
      <c r="AJ177" s="37"/>
      <c r="AK177" s="24"/>
      <c r="AL177" s="35"/>
    </row>
    <row r="178" spans="1:38" s="41" customFormat="1" ht="44.25" customHeight="1">
      <c r="A178" s="298">
        <v>17</v>
      </c>
      <c r="B178" s="295" t="s">
        <v>261</v>
      </c>
      <c r="C178" s="355" t="s">
        <v>6</v>
      </c>
      <c r="D178" s="54"/>
      <c r="E178" s="54"/>
      <c r="F178" s="75" t="s">
        <v>304</v>
      </c>
      <c r="G178" s="356" t="s">
        <v>338</v>
      </c>
      <c r="H178" s="72">
        <v>7800</v>
      </c>
      <c r="I178" s="72">
        <v>4300</v>
      </c>
      <c r="J178" s="72"/>
      <c r="K178" s="72"/>
      <c r="L178" s="72"/>
      <c r="M178" s="72">
        <v>1800</v>
      </c>
      <c r="N178" s="72">
        <f>M178</f>
        <v>1800</v>
      </c>
      <c r="O178" s="72"/>
      <c r="P178" s="72"/>
      <c r="Q178" s="72">
        <f>3500-P178</f>
        <v>3500</v>
      </c>
      <c r="R178" s="72"/>
      <c r="S178" s="72"/>
      <c r="T178" s="72"/>
      <c r="U178" s="343">
        <f>H178-3500</f>
        <v>4300</v>
      </c>
      <c r="V178" s="343">
        <f>U178</f>
        <v>4300</v>
      </c>
      <c r="W178" s="615">
        <v>3000</v>
      </c>
      <c r="X178" s="615">
        <v>1860</v>
      </c>
      <c r="Y178" s="615">
        <f>X178</f>
        <v>1860</v>
      </c>
      <c r="Z178" s="343"/>
      <c r="AA178" s="37" t="s">
        <v>368</v>
      </c>
      <c r="AB178" s="312">
        <v>1800</v>
      </c>
      <c r="AC178" s="314">
        <f t="shared" si="24"/>
        <v>60</v>
      </c>
      <c r="AD178" s="36"/>
      <c r="AE178" s="36">
        <f>V178-X178</f>
        <v>2440</v>
      </c>
      <c r="AF178" s="36"/>
      <c r="AG178" s="37"/>
      <c r="AH178" s="37"/>
      <c r="AI178" s="37"/>
      <c r="AJ178" s="37"/>
      <c r="AK178" s="24"/>
      <c r="AL178" s="35"/>
    </row>
    <row r="179" spans="1:38" s="41" customFormat="1" ht="43.5" customHeight="1">
      <c r="A179" s="298">
        <v>18</v>
      </c>
      <c r="B179" s="295" t="s">
        <v>262</v>
      </c>
      <c r="C179" s="355" t="s">
        <v>6</v>
      </c>
      <c r="D179" s="54"/>
      <c r="E179" s="54">
        <f>A179</f>
        <v>18</v>
      </c>
      <c r="F179" s="75" t="s">
        <v>304</v>
      </c>
      <c r="G179" s="356" t="s">
        <v>339</v>
      </c>
      <c r="H179" s="72">
        <v>7800</v>
      </c>
      <c r="I179" s="72">
        <v>4400</v>
      </c>
      <c r="J179" s="72"/>
      <c r="K179" s="72"/>
      <c r="L179" s="72"/>
      <c r="M179" s="72">
        <v>1700</v>
      </c>
      <c r="N179" s="72">
        <f>M179</f>
        <v>1700</v>
      </c>
      <c r="O179" s="72"/>
      <c r="P179" s="72"/>
      <c r="Q179" s="72">
        <v>3400</v>
      </c>
      <c r="R179" s="72"/>
      <c r="S179" s="72"/>
      <c r="T179" s="72"/>
      <c r="U179" s="343">
        <f>H179-3400</f>
        <v>4400</v>
      </c>
      <c r="V179" s="343">
        <f>U179</f>
        <v>4400</v>
      </c>
      <c r="W179" s="615">
        <v>3000</v>
      </c>
      <c r="X179" s="615">
        <v>1860</v>
      </c>
      <c r="Y179" s="615">
        <f>X179</f>
        <v>1860</v>
      </c>
      <c r="Z179" s="343"/>
      <c r="AA179" s="37" t="s">
        <v>367</v>
      </c>
      <c r="AB179" s="312">
        <v>1858</v>
      </c>
      <c r="AC179" s="314">
        <f t="shared" si="24"/>
        <v>2</v>
      </c>
      <c r="AD179" s="36"/>
      <c r="AE179" s="36">
        <f>V179-X179</f>
        <v>2540</v>
      </c>
      <c r="AF179" s="36"/>
      <c r="AG179" s="37"/>
      <c r="AH179" s="37"/>
      <c r="AI179" s="37"/>
      <c r="AJ179" s="37"/>
      <c r="AK179" s="24"/>
      <c r="AL179" s="35"/>
    </row>
    <row r="180" spans="1:38" s="41" customFormat="1" ht="46.5" customHeight="1">
      <c r="A180" s="298">
        <v>19</v>
      </c>
      <c r="B180" s="295" t="s">
        <v>724</v>
      </c>
      <c r="C180" s="355"/>
      <c r="D180" s="54"/>
      <c r="E180" s="54"/>
      <c r="F180" s="75"/>
      <c r="G180" s="408" t="s">
        <v>725</v>
      </c>
      <c r="H180" s="409">
        <v>14990</v>
      </c>
      <c r="I180" s="409">
        <v>14990</v>
      </c>
      <c r="J180" s="72"/>
      <c r="K180" s="72"/>
      <c r="L180" s="72"/>
      <c r="M180" s="72"/>
      <c r="N180" s="72"/>
      <c r="O180" s="72"/>
      <c r="P180" s="72"/>
      <c r="Q180" s="72"/>
      <c r="R180" s="72"/>
      <c r="S180" s="72"/>
      <c r="T180" s="72"/>
      <c r="U180" s="343">
        <f>I180</f>
        <v>14990</v>
      </c>
      <c r="V180" s="343">
        <f>U180</f>
        <v>14990</v>
      </c>
      <c r="W180" s="343"/>
      <c r="X180" s="73">
        <f>V180/100*35</f>
        <v>5246.5</v>
      </c>
      <c r="Y180" s="343"/>
      <c r="Z180" s="343"/>
      <c r="AA180" s="37" t="s">
        <v>726</v>
      </c>
      <c r="AB180" s="312">
        <v>5279.5</v>
      </c>
      <c r="AC180" s="314">
        <f t="shared" si="24"/>
        <v>-33</v>
      </c>
      <c r="AD180" s="36">
        <f>+X180</f>
        <v>5246.5</v>
      </c>
      <c r="AE180" s="36">
        <f>V180-X180</f>
        <v>9743.5</v>
      </c>
      <c r="AF180" s="36"/>
      <c r="AG180" s="37"/>
      <c r="AH180" s="37"/>
      <c r="AI180" s="37"/>
      <c r="AJ180" s="37"/>
      <c r="AK180" s="24"/>
      <c r="AL180" s="35"/>
    </row>
    <row r="181" spans="1:38" s="41" customFormat="1" ht="24.75" customHeight="1">
      <c r="A181" s="410"/>
      <c r="B181" s="295"/>
      <c r="C181" s="54"/>
      <c r="D181" s="54"/>
      <c r="E181" s="54"/>
      <c r="F181" s="75"/>
      <c r="G181" s="298"/>
      <c r="H181" s="371"/>
      <c r="I181" s="371"/>
      <c r="J181" s="72"/>
      <c r="K181" s="72"/>
      <c r="L181" s="72"/>
      <c r="M181" s="371"/>
      <c r="N181" s="72"/>
      <c r="O181" s="72"/>
      <c r="P181" s="72"/>
      <c r="Q181" s="371"/>
      <c r="R181" s="72"/>
      <c r="S181" s="72"/>
      <c r="T181" s="72"/>
      <c r="U181" s="343"/>
      <c r="V181" s="343"/>
      <c r="W181" s="343"/>
      <c r="X181" s="343"/>
      <c r="Y181" s="343"/>
      <c r="Z181" s="343"/>
      <c r="AA181" s="37"/>
      <c r="AB181" s="163"/>
      <c r="AC181" s="314">
        <f t="shared" si="24"/>
        <v>0</v>
      </c>
      <c r="AD181" s="36"/>
      <c r="AE181" s="36">
        <f>SUM(AE174:AE180)</f>
        <v>22719.5</v>
      </c>
      <c r="AF181" s="36"/>
      <c r="AG181" s="37"/>
      <c r="AH181" s="37">
        <f>V181-X181</f>
        <v>0</v>
      </c>
      <c r="AI181" s="37"/>
      <c r="AJ181" s="37"/>
      <c r="AK181" s="24">
        <f>W181-Y181</f>
        <v>0</v>
      </c>
      <c r="AL181" s="35">
        <f>+X181-AF181</f>
        <v>0</v>
      </c>
    </row>
    <row r="182" spans="1:38" s="273" customFormat="1" ht="32.25" customHeight="1">
      <c r="A182" s="382" t="s">
        <v>45</v>
      </c>
      <c r="B182" s="351" t="s">
        <v>357</v>
      </c>
      <c r="C182" s="54"/>
      <c r="D182" s="361"/>
      <c r="E182" s="361"/>
      <c r="F182" s="75"/>
      <c r="G182" s="361"/>
      <c r="H182" s="275">
        <f aca="true" t="shared" si="28" ref="H182:Y182">SUM(H183:H196)</f>
        <v>129577</v>
      </c>
      <c r="I182" s="275">
        <f t="shared" si="28"/>
        <v>46925</v>
      </c>
      <c r="J182" s="275">
        <f t="shared" si="28"/>
        <v>0</v>
      </c>
      <c r="K182" s="275">
        <f t="shared" si="28"/>
        <v>118528</v>
      </c>
      <c r="L182" s="275">
        <f t="shared" si="28"/>
        <v>21000</v>
      </c>
      <c r="M182" s="275">
        <f t="shared" si="28"/>
        <v>131336</v>
      </c>
      <c r="N182" s="275">
        <f t="shared" si="28"/>
        <v>18027</v>
      </c>
      <c r="O182" s="275">
        <f t="shared" si="28"/>
        <v>116132</v>
      </c>
      <c r="P182" s="275">
        <f t="shared" si="28"/>
        <v>36173</v>
      </c>
      <c r="Q182" s="275">
        <f t="shared" si="28"/>
        <v>6152</v>
      </c>
      <c r="R182" s="275">
        <f t="shared" si="28"/>
        <v>0</v>
      </c>
      <c r="S182" s="275">
        <f t="shared" si="28"/>
        <v>0</v>
      </c>
      <c r="T182" s="275">
        <f t="shared" si="28"/>
        <v>0</v>
      </c>
      <c r="U182" s="275">
        <f t="shared" si="28"/>
        <v>10316</v>
      </c>
      <c r="V182" s="275">
        <f t="shared" si="28"/>
        <v>10316</v>
      </c>
      <c r="W182" s="275">
        <f t="shared" si="28"/>
        <v>10316</v>
      </c>
      <c r="X182" s="275">
        <f>SUM(X183:X201)</f>
        <v>22600.393820999998</v>
      </c>
      <c r="Y182" s="275">
        <f t="shared" si="28"/>
        <v>12548.393821</v>
      </c>
      <c r="Z182" s="275"/>
      <c r="AA182" s="34">
        <v>22600.000695510273</v>
      </c>
      <c r="AB182" s="316">
        <v>22600.093821000002</v>
      </c>
      <c r="AC182" s="317">
        <f t="shared" si="24"/>
        <v>0.2999999999956344</v>
      </c>
      <c r="AD182" s="277"/>
      <c r="AE182" s="277"/>
      <c r="AF182" s="277">
        <v>24492</v>
      </c>
      <c r="AG182" s="34"/>
      <c r="AH182" s="275">
        <f>SUM(AH187:AH196)</f>
        <v>8984.808555</v>
      </c>
      <c r="AI182" s="37">
        <f>X182-AH182</f>
        <v>13615.585265999998</v>
      </c>
      <c r="AJ182" s="37"/>
      <c r="AK182" s="24">
        <f>X182-AA182</f>
        <v>0.39312548972520744</v>
      </c>
      <c r="AL182" s="35">
        <f>+X182-AF182</f>
        <v>-1891.6061790000022</v>
      </c>
    </row>
    <row r="183" spans="1:38" s="273" customFormat="1" ht="67.5" customHeight="1">
      <c r="A183" s="298">
        <v>1</v>
      </c>
      <c r="B183" s="390" t="s">
        <v>604</v>
      </c>
      <c r="C183" s="54"/>
      <c r="D183" s="361"/>
      <c r="E183" s="361"/>
      <c r="F183" s="75"/>
      <c r="G183" s="361"/>
      <c r="H183" s="275"/>
      <c r="I183" s="275"/>
      <c r="J183" s="275"/>
      <c r="K183" s="275"/>
      <c r="L183" s="275"/>
      <c r="M183" s="275"/>
      <c r="N183" s="275"/>
      <c r="O183" s="275"/>
      <c r="P183" s="275"/>
      <c r="Q183" s="275"/>
      <c r="R183" s="275"/>
      <c r="S183" s="275"/>
      <c r="T183" s="275"/>
      <c r="U183" s="275"/>
      <c r="V183" s="275"/>
      <c r="W183" s="275"/>
      <c r="X183" s="411">
        <f>198.902376+274</f>
        <v>472.902376</v>
      </c>
      <c r="Y183" s="411">
        <f>X183</f>
        <v>472.902376</v>
      </c>
      <c r="Z183" s="275"/>
      <c r="AA183" s="37" t="s">
        <v>945</v>
      </c>
      <c r="AB183" s="319">
        <v>472.902376</v>
      </c>
      <c r="AC183" s="320">
        <f t="shared" si="24"/>
        <v>0</v>
      </c>
      <c r="AD183" s="36"/>
      <c r="AE183" s="36"/>
      <c r="AF183" s="277"/>
      <c r="AG183" s="34"/>
      <c r="AH183" s="275"/>
      <c r="AI183" s="37"/>
      <c r="AJ183" s="37"/>
      <c r="AK183" s="24"/>
      <c r="AL183" s="35"/>
    </row>
    <row r="184" spans="1:38" s="273" customFormat="1" ht="38.25">
      <c r="A184" s="298">
        <v>2</v>
      </c>
      <c r="B184" s="390" t="s">
        <v>946</v>
      </c>
      <c r="C184" s="54"/>
      <c r="D184" s="361"/>
      <c r="E184" s="361"/>
      <c r="F184" s="75"/>
      <c r="G184" s="361"/>
      <c r="H184" s="275"/>
      <c r="I184" s="275"/>
      <c r="J184" s="275"/>
      <c r="K184" s="275"/>
      <c r="L184" s="275"/>
      <c r="M184" s="275"/>
      <c r="N184" s="275"/>
      <c r="O184" s="275"/>
      <c r="P184" s="275"/>
      <c r="Q184" s="275"/>
      <c r="R184" s="275"/>
      <c r="S184" s="275"/>
      <c r="T184" s="275"/>
      <c r="U184" s="275"/>
      <c r="V184" s="275"/>
      <c r="W184" s="275"/>
      <c r="X184" s="411">
        <v>228.6</v>
      </c>
      <c r="Y184" s="411">
        <f>X184</f>
        <v>228.6</v>
      </c>
      <c r="Z184" s="275"/>
      <c r="AA184" s="37" t="s">
        <v>942</v>
      </c>
      <c r="AB184" s="319">
        <v>228.6</v>
      </c>
      <c r="AC184" s="320">
        <f t="shared" si="24"/>
        <v>0</v>
      </c>
      <c r="AD184" s="36"/>
      <c r="AE184" s="36"/>
      <c r="AF184" s="277"/>
      <c r="AG184" s="34"/>
      <c r="AH184" s="275"/>
      <c r="AI184" s="37"/>
      <c r="AJ184" s="37"/>
      <c r="AK184" s="24"/>
      <c r="AL184" s="35"/>
    </row>
    <row r="185" spans="1:38" s="273" customFormat="1" ht="38.25">
      <c r="A185" s="298">
        <v>3</v>
      </c>
      <c r="B185" s="390" t="s">
        <v>947</v>
      </c>
      <c r="C185" s="54"/>
      <c r="D185" s="361"/>
      <c r="E185" s="361"/>
      <c r="F185" s="75"/>
      <c r="G185" s="361"/>
      <c r="H185" s="275"/>
      <c r="I185" s="275"/>
      <c r="J185" s="275"/>
      <c r="K185" s="275"/>
      <c r="L185" s="275"/>
      <c r="M185" s="275"/>
      <c r="N185" s="275"/>
      <c r="O185" s="275"/>
      <c r="P185" s="275"/>
      <c r="Q185" s="275"/>
      <c r="R185" s="275"/>
      <c r="S185" s="275"/>
      <c r="T185" s="275"/>
      <c r="U185" s="275"/>
      <c r="V185" s="275"/>
      <c r="W185" s="275"/>
      <c r="X185" s="411">
        <v>300</v>
      </c>
      <c r="Y185" s="411">
        <v>300</v>
      </c>
      <c r="Z185" s="275"/>
      <c r="AA185" s="37" t="s">
        <v>942</v>
      </c>
      <c r="AB185" s="319">
        <v>300</v>
      </c>
      <c r="AC185" s="320">
        <f t="shared" si="24"/>
        <v>0</v>
      </c>
      <c r="AD185" s="36"/>
      <c r="AE185" s="36"/>
      <c r="AF185" s="277"/>
      <c r="AG185" s="34"/>
      <c r="AH185" s="275"/>
      <c r="AI185" s="37"/>
      <c r="AJ185" s="37"/>
      <c r="AK185" s="24"/>
      <c r="AL185" s="35"/>
    </row>
    <row r="186" spans="1:38" s="273" customFormat="1" ht="38.25">
      <c r="A186" s="298">
        <v>4</v>
      </c>
      <c r="B186" s="390" t="s">
        <v>948</v>
      </c>
      <c r="C186" s="54"/>
      <c r="D186" s="361"/>
      <c r="E186" s="361"/>
      <c r="F186" s="75"/>
      <c r="G186" s="361"/>
      <c r="H186" s="275"/>
      <c r="I186" s="275"/>
      <c r="J186" s="275"/>
      <c r="K186" s="275"/>
      <c r="L186" s="275"/>
      <c r="M186" s="275"/>
      <c r="N186" s="275"/>
      <c r="O186" s="275"/>
      <c r="P186" s="275"/>
      <c r="Q186" s="275"/>
      <c r="R186" s="275"/>
      <c r="S186" s="275"/>
      <c r="T186" s="275"/>
      <c r="U186" s="275"/>
      <c r="V186" s="275"/>
      <c r="W186" s="275"/>
      <c r="X186" s="411">
        <v>215.7</v>
      </c>
      <c r="Y186" s="411">
        <v>215.7</v>
      </c>
      <c r="Z186" s="275"/>
      <c r="AA186" s="37" t="s">
        <v>942</v>
      </c>
      <c r="AB186" s="319">
        <v>215.7</v>
      </c>
      <c r="AC186" s="320">
        <f t="shared" si="24"/>
        <v>0</v>
      </c>
      <c r="AD186" s="36"/>
      <c r="AE186" s="36"/>
      <c r="AF186" s="277"/>
      <c r="AG186" s="34"/>
      <c r="AH186" s="275"/>
      <c r="AI186" s="37"/>
      <c r="AJ186" s="37"/>
      <c r="AK186" s="24"/>
      <c r="AL186" s="35"/>
    </row>
    <row r="187" spans="1:38" s="41" customFormat="1" ht="38.25">
      <c r="A187" s="298">
        <v>5</v>
      </c>
      <c r="B187" s="399" t="s">
        <v>618</v>
      </c>
      <c r="C187" s="54"/>
      <c r="D187" s="361"/>
      <c r="E187" s="361"/>
      <c r="F187" s="75"/>
      <c r="G187" s="361"/>
      <c r="H187" s="275"/>
      <c r="I187" s="275"/>
      <c r="J187" s="275"/>
      <c r="K187" s="275"/>
      <c r="L187" s="275"/>
      <c r="M187" s="275"/>
      <c r="N187" s="275"/>
      <c r="O187" s="275"/>
      <c r="P187" s="275"/>
      <c r="Q187" s="275"/>
      <c r="R187" s="275"/>
      <c r="S187" s="275"/>
      <c r="T187" s="275"/>
      <c r="U187" s="275"/>
      <c r="V187" s="275"/>
      <c r="W187" s="275"/>
      <c r="X187" s="411">
        <v>58.645</v>
      </c>
      <c r="Y187" s="411">
        <f>X187</f>
        <v>58.645</v>
      </c>
      <c r="Z187" s="275"/>
      <c r="AA187" s="37" t="s">
        <v>520</v>
      </c>
      <c r="AB187" s="163">
        <v>58.645</v>
      </c>
      <c r="AC187" s="314">
        <f t="shared" si="24"/>
        <v>0</v>
      </c>
      <c r="AD187" s="36"/>
      <c r="AE187" s="36"/>
      <c r="AF187" s="36">
        <v>3800</v>
      </c>
      <c r="AG187" s="37"/>
      <c r="AH187" s="37">
        <f aca="true" t="shared" si="29" ref="AH187:AH194">V187-X187</f>
        <v>-58.645</v>
      </c>
      <c r="AI187" s="37"/>
      <c r="AJ187" s="37"/>
      <c r="AK187" s="24"/>
      <c r="AL187" s="35">
        <f aca="true" t="shared" si="30" ref="AL187:AL195">+X187-AF187</f>
        <v>-3741.355</v>
      </c>
    </row>
    <row r="188" spans="1:38" s="41" customFormat="1" ht="38.25">
      <c r="A188" s="298">
        <v>6</v>
      </c>
      <c r="B188" s="412" t="s">
        <v>638</v>
      </c>
      <c r="C188" s="54"/>
      <c r="D188" s="361"/>
      <c r="E188" s="361"/>
      <c r="F188" s="75"/>
      <c r="G188" s="361"/>
      <c r="H188" s="275"/>
      <c r="I188" s="275"/>
      <c r="J188" s="275"/>
      <c r="K188" s="275"/>
      <c r="L188" s="275"/>
      <c r="M188" s="275"/>
      <c r="N188" s="275"/>
      <c r="O188" s="275"/>
      <c r="P188" s="275"/>
      <c r="Q188" s="275"/>
      <c r="R188" s="275"/>
      <c r="S188" s="275"/>
      <c r="T188" s="275"/>
      <c r="U188" s="275"/>
      <c r="V188" s="275"/>
      <c r="W188" s="275"/>
      <c r="X188" s="411">
        <v>240.742</v>
      </c>
      <c r="Y188" s="411">
        <v>240.742</v>
      </c>
      <c r="Z188" s="275"/>
      <c r="AA188" s="37" t="s">
        <v>520</v>
      </c>
      <c r="AB188" s="163">
        <v>240.742</v>
      </c>
      <c r="AC188" s="314">
        <f t="shared" si="24"/>
        <v>0</v>
      </c>
      <c r="AD188" s="36"/>
      <c r="AE188" s="36"/>
      <c r="AF188" s="36">
        <v>670</v>
      </c>
      <c r="AG188" s="37"/>
      <c r="AH188" s="37">
        <f t="shared" si="29"/>
        <v>-240.742</v>
      </c>
      <c r="AI188" s="37"/>
      <c r="AJ188" s="37"/>
      <c r="AK188" s="24"/>
      <c r="AL188" s="35">
        <f t="shared" si="30"/>
        <v>-429.25800000000004</v>
      </c>
    </row>
    <row r="189" spans="1:38" s="41" customFormat="1" ht="35.25" customHeight="1">
      <c r="A189" s="298">
        <v>7</v>
      </c>
      <c r="B189" s="390" t="s">
        <v>640</v>
      </c>
      <c r="C189" s="54"/>
      <c r="D189" s="361"/>
      <c r="E189" s="361"/>
      <c r="F189" s="75"/>
      <c r="G189" s="361"/>
      <c r="H189" s="275"/>
      <c r="I189" s="275"/>
      <c r="J189" s="275"/>
      <c r="K189" s="275"/>
      <c r="L189" s="275"/>
      <c r="M189" s="275"/>
      <c r="N189" s="275"/>
      <c r="O189" s="275"/>
      <c r="P189" s="275"/>
      <c r="Q189" s="275"/>
      <c r="R189" s="275"/>
      <c r="S189" s="275"/>
      <c r="T189" s="275"/>
      <c r="U189" s="275"/>
      <c r="V189" s="275"/>
      <c r="W189" s="275"/>
      <c r="X189" s="411">
        <v>715.804445</v>
      </c>
      <c r="Y189" s="411">
        <v>715.804445</v>
      </c>
      <c r="Z189" s="275"/>
      <c r="AA189" s="37" t="s">
        <v>520</v>
      </c>
      <c r="AB189" s="163">
        <v>715.804445</v>
      </c>
      <c r="AC189" s="314">
        <f t="shared" si="24"/>
        <v>0</v>
      </c>
      <c r="AD189" s="36"/>
      <c r="AE189" s="36"/>
      <c r="AF189" s="36">
        <v>2584</v>
      </c>
      <c r="AG189" s="37"/>
      <c r="AH189" s="37">
        <f t="shared" si="29"/>
        <v>-715.804445</v>
      </c>
      <c r="AI189" s="37"/>
      <c r="AJ189" s="37"/>
      <c r="AK189" s="24"/>
      <c r="AL189" s="35">
        <f t="shared" si="30"/>
        <v>-1868.195555</v>
      </c>
    </row>
    <row r="190" spans="1:38" s="273" customFormat="1" ht="51">
      <c r="A190" s="298">
        <v>8</v>
      </c>
      <c r="B190" s="226" t="s">
        <v>678</v>
      </c>
      <c r="C190" s="54"/>
      <c r="D190" s="361"/>
      <c r="E190" s="361"/>
      <c r="F190" s="361"/>
      <c r="G190" s="216" t="s">
        <v>773</v>
      </c>
      <c r="H190" s="343">
        <v>300</v>
      </c>
      <c r="I190" s="343">
        <v>120</v>
      </c>
      <c r="J190" s="343"/>
      <c r="K190" s="343"/>
      <c r="L190" s="343"/>
      <c r="M190" s="343"/>
      <c r="N190" s="343"/>
      <c r="O190" s="343"/>
      <c r="P190" s="343"/>
      <c r="Q190" s="343"/>
      <c r="R190" s="343"/>
      <c r="S190" s="343"/>
      <c r="T190" s="343"/>
      <c r="U190" s="401">
        <v>120</v>
      </c>
      <c r="V190" s="401">
        <v>120</v>
      </c>
      <c r="W190" s="401">
        <v>120</v>
      </c>
      <c r="X190" s="401">
        <v>120</v>
      </c>
      <c r="Y190" s="401">
        <v>120</v>
      </c>
      <c r="Z190" s="275"/>
      <c r="AA190" s="37" t="s">
        <v>546</v>
      </c>
      <c r="AB190" s="163">
        <v>120</v>
      </c>
      <c r="AC190" s="314">
        <f>+X190-AB190</f>
        <v>0</v>
      </c>
      <c r="AD190" s="36">
        <f>Y190</f>
        <v>120</v>
      </c>
      <c r="AE190" s="36"/>
      <c r="AF190" s="32"/>
      <c r="AG190" s="33"/>
      <c r="AH190" s="275"/>
      <c r="AI190" s="37"/>
      <c r="AJ190" s="37"/>
      <c r="AK190" s="24"/>
      <c r="AL190" s="35"/>
    </row>
    <row r="191" spans="1:38" s="263" customFormat="1" ht="51">
      <c r="A191" s="298">
        <v>9</v>
      </c>
      <c r="B191" s="295" t="s">
        <v>223</v>
      </c>
      <c r="C191" s="54" t="s">
        <v>220</v>
      </c>
      <c r="D191" s="54"/>
      <c r="E191" s="54"/>
      <c r="F191" s="75" t="s">
        <v>287</v>
      </c>
      <c r="G191" s="356" t="s">
        <v>225</v>
      </c>
      <c r="H191" s="72">
        <v>9800</v>
      </c>
      <c r="I191" s="350">
        <v>9800</v>
      </c>
      <c r="J191" s="350"/>
      <c r="K191" s="350"/>
      <c r="L191" s="350"/>
      <c r="M191" s="350">
        <f>2500+1800</f>
        <v>4300</v>
      </c>
      <c r="N191" s="350"/>
      <c r="O191" s="350">
        <v>4300</v>
      </c>
      <c r="P191" s="350">
        <f>O191</f>
        <v>4300</v>
      </c>
      <c r="Q191" s="350">
        <v>1500</v>
      </c>
      <c r="R191" s="350"/>
      <c r="S191" s="350"/>
      <c r="T191" s="350"/>
      <c r="U191" s="343">
        <v>3800</v>
      </c>
      <c r="V191" s="343">
        <f aca="true" t="shared" si="31" ref="V191:W193">U191</f>
        <v>3800</v>
      </c>
      <c r="W191" s="343">
        <f t="shared" si="31"/>
        <v>3800</v>
      </c>
      <c r="X191" s="343">
        <v>3800</v>
      </c>
      <c r="Y191" s="343">
        <f aca="true" t="shared" si="32" ref="Y191:Y196">X191</f>
        <v>3800</v>
      </c>
      <c r="Z191" s="343"/>
      <c r="AA191" s="37" t="s">
        <v>364</v>
      </c>
      <c r="AB191" s="163">
        <v>3800</v>
      </c>
      <c r="AC191" s="314">
        <f t="shared" si="24"/>
        <v>0</v>
      </c>
      <c r="AD191" s="36"/>
      <c r="AE191" s="36"/>
      <c r="AF191" s="36">
        <v>700</v>
      </c>
      <c r="AG191" s="37"/>
      <c r="AH191" s="37">
        <f t="shared" si="29"/>
        <v>0</v>
      </c>
      <c r="AI191" s="37"/>
      <c r="AJ191" s="37"/>
      <c r="AK191" s="24"/>
      <c r="AL191" s="35">
        <f t="shared" si="30"/>
        <v>3100</v>
      </c>
    </row>
    <row r="192" spans="1:38" s="41" customFormat="1" ht="41.25" customHeight="1">
      <c r="A192" s="298">
        <v>10</v>
      </c>
      <c r="B192" s="295" t="s">
        <v>226</v>
      </c>
      <c r="C192" s="54" t="s">
        <v>220</v>
      </c>
      <c r="D192" s="54" t="s">
        <v>227</v>
      </c>
      <c r="E192" s="54"/>
      <c r="F192" s="75" t="s">
        <v>287</v>
      </c>
      <c r="G192" s="356" t="s">
        <v>228</v>
      </c>
      <c r="H192" s="72">
        <v>14977</v>
      </c>
      <c r="I192" s="350">
        <v>14977</v>
      </c>
      <c r="J192" s="350"/>
      <c r="K192" s="350"/>
      <c r="L192" s="350"/>
      <c r="M192" s="350">
        <v>10509</v>
      </c>
      <c r="N192" s="350"/>
      <c r="O192" s="350">
        <v>10509</v>
      </c>
      <c r="P192" s="350">
        <f>O192</f>
        <v>10509</v>
      </c>
      <c r="Q192" s="350">
        <f>2000+700</f>
        <v>2700</v>
      </c>
      <c r="R192" s="350"/>
      <c r="S192" s="350"/>
      <c r="T192" s="350"/>
      <c r="U192" s="343">
        <v>670</v>
      </c>
      <c r="V192" s="343">
        <f>U192</f>
        <v>670</v>
      </c>
      <c r="W192" s="343">
        <f t="shared" si="31"/>
        <v>670</v>
      </c>
      <c r="X192" s="343">
        <v>670</v>
      </c>
      <c r="Y192" s="343">
        <f t="shared" si="32"/>
        <v>670</v>
      </c>
      <c r="Z192" s="343"/>
      <c r="AA192" s="37" t="s">
        <v>364</v>
      </c>
      <c r="AB192" s="163">
        <v>670</v>
      </c>
      <c r="AC192" s="314">
        <f t="shared" si="24"/>
        <v>0</v>
      </c>
      <c r="AD192" s="36"/>
      <c r="AE192" s="36"/>
      <c r="AF192" s="36">
        <v>2000</v>
      </c>
      <c r="AG192" s="37"/>
      <c r="AH192" s="37">
        <f t="shared" si="29"/>
        <v>0</v>
      </c>
      <c r="AI192" s="37"/>
      <c r="AJ192" s="37"/>
      <c r="AK192" s="24">
        <f>W192-Y192</f>
        <v>0</v>
      </c>
      <c r="AL192" s="35">
        <f t="shared" si="30"/>
        <v>-1330</v>
      </c>
    </row>
    <row r="193" spans="1:38" s="41" customFormat="1" ht="44.25" customHeight="1">
      <c r="A193" s="298">
        <v>11</v>
      </c>
      <c r="B193" s="295" t="s">
        <v>230</v>
      </c>
      <c r="C193" s="54" t="s">
        <v>220</v>
      </c>
      <c r="D193" s="54" t="s">
        <v>231</v>
      </c>
      <c r="E193" s="54"/>
      <c r="F193" s="75" t="s">
        <v>287</v>
      </c>
      <c r="G193" s="356" t="s">
        <v>232</v>
      </c>
      <c r="H193" s="72">
        <v>7500</v>
      </c>
      <c r="I193" s="350">
        <f>H193</f>
        <v>7500</v>
      </c>
      <c r="J193" s="350"/>
      <c r="K193" s="350"/>
      <c r="L193" s="350"/>
      <c r="M193" s="350">
        <v>3500</v>
      </c>
      <c r="N193" s="350"/>
      <c r="O193" s="350">
        <v>3364</v>
      </c>
      <c r="P193" s="350">
        <f>O193</f>
        <v>3364</v>
      </c>
      <c r="Q193" s="350">
        <v>1452</v>
      </c>
      <c r="R193" s="350"/>
      <c r="S193" s="350"/>
      <c r="T193" s="350"/>
      <c r="U193" s="343">
        <v>2500</v>
      </c>
      <c r="V193" s="343">
        <f t="shared" si="31"/>
        <v>2500</v>
      </c>
      <c r="W193" s="343">
        <f>V193</f>
        <v>2500</v>
      </c>
      <c r="X193" s="343">
        <v>2500</v>
      </c>
      <c r="Y193" s="343">
        <f t="shared" si="32"/>
        <v>2500</v>
      </c>
      <c r="Z193" s="343"/>
      <c r="AA193" s="37" t="s">
        <v>364</v>
      </c>
      <c r="AB193" s="163">
        <v>2500</v>
      </c>
      <c r="AC193" s="314">
        <f t="shared" si="24"/>
        <v>0</v>
      </c>
      <c r="AD193" s="36"/>
      <c r="AE193" s="36"/>
      <c r="AF193" s="36">
        <v>526</v>
      </c>
      <c r="AG193" s="37"/>
      <c r="AH193" s="37">
        <f t="shared" si="29"/>
        <v>0</v>
      </c>
      <c r="AI193" s="37"/>
      <c r="AJ193" s="37"/>
      <c r="AK193" s="24" t="e">
        <f>AK194+AK195+#REF!+AK196</f>
        <v>#REF!</v>
      </c>
      <c r="AL193" s="35">
        <f t="shared" si="30"/>
        <v>1974</v>
      </c>
    </row>
    <row r="194" spans="1:38" s="273" customFormat="1" ht="42" customHeight="1">
      <c r="A194" s="298">
        <v>12</v>
      </c>
      <c r="B194" s="359" t="s">
        <v>206</v>
      </c>
      <c r="C194" s="54" t="s">
        <v>220</v>
      </c>
      <c r="D194" s="54" t="s">
        <v>207</v>
      </c>
      <c r="E194" s="54"/>
      <c r="F194" s="75"/>
      <c r="G194" s="356" t="s">
        <v>208</v>
      </c>
      <c r="H194" s="350">
        <v>12000</v>
      </c>
      <c r="I194" s="350">
        <v>12000</v>
      </c>
      <c r="J194" s="413" t="s">
        <v>209</v>
      </c>
      <c r="K194" s="350">
        <v>21000</v>
      </c>
      <c r="L194" s="350">
        <v>21000</v>
      </c>
      <c r="M194" s="350">
        <v>18027</v>
      </c>
      <c r="N194" s="350">
        <f>O194</f>
        <v>18027</v>
      </c>
      <c r="O194" s="350">
        <v>18027</v>
      </c>
      <c r="P194" s="350">
        <v>18000</v>
      </c>
      <c r="Q194" s="350">
        <v>500</v>
      </c>
      <c r="R194" s="350">
        <f>T194</f>
        <v>0</v>
      </c>
      <c r="S194" s="350"/>
      <c r="T194" s="350"/>
      <c r="U194" s="343">
        <v>700</v>
      </c>
      <c r="V194" s="343">
        <f>U194</f>
        <v>700</v>
      </c>
      <c r="W194" s="343">
        <f>V194</f>
        <v>700</v>
      </c>
      <c r="X194" s="343">
        <f>W194</f>
        <v>700</v>
      </c>
      <c r="Y194" s="343">
        <f t="shared" si="32"/>
        <v>700</v>
      </c>
      <c r="Z194" s="343"/>
      <c r="AA194" s="37" t="s">
        <v>364</v>
      </c>
      <c r="AB194" s="163">
        <v>700</v>
      </c>
      <c r="AC194" s="314">
        <f t="shared" si="24"/>
        <v>0</v>
      </c>
      <c r="AD194" s="36"/>
      <c r="AE194" s="36"/>
      <c r="AF194" s="36">
        <v>2000</v>
      </c>
      <c r="AG194" s="37"/>
      <c r="AH194" s="37">
        <f t="shared" si="29"/>
        <v>0</v>
      </c>
      <c r="AI194" s="37"/>
      <c r="AJ194" s="37"/>
      <c r="AK194" s="24">
        <f>V194-X194</f>
        <v>0</v>
      </c>
      <c r="AL194" s="35">
        <f t="shared" si="30"/>
        <v>-1300</v>
      </c>
    </row>
    <row r="195" spans="1:38" s="263" customFormat="1" ht="38.25">
      <c r="A195" s="298">
        <v>13</v>
      </c>
      <c r="B195" s="295" t="s">
        <v>210</v>
      </c>
      <c r="C195" s="54" t="s">
        <v>220</v>
      </c>
      <c r="D195" s="54" t="s">
        <v>211</v>
      </c>
      <c r="E195" s="54"/>
      <c r="F195" s="75" t="s">
        <v>212</v>
      </c>
      <c r="G195" s="356" t="s">
        <v>213</v>
      </c>
      <c r="H195" s="343">
        <v>45000</v>
      </c>
      <c r="I195" s="350">
        <v>2000</v>
      </c>
      <c r="J195" s="413" t="s">
        <v>214</v>
      </c>
      <c r="K195" s="350">
        <v>57000</v>
      </c>
      <c r="L195" s="350"/>
      <c r="M195" s="350">
        <v>55000</v>
      </c>
      <c r="N195" s="350"/>
      <c r="O195" s="350">
        <f>H195-I195</f>
        <v>43000</v>
      </c>
      <c r="P195" s="350"/>
      <c r="Q195" s="350"/>
      <c r="R195" s="350"/>
      <c r="S195" s="350"/>
      <c r="T195" s="350"/>
      <c r="U195" s="343">
        <v>2000</v>
      </c>
      <c r="V195" s="343">
        <f>U195</f>
        <v>2000</v>
      </c>
      <c r="W195" s="343">
        <f>V195</f>
        <v>2000</v>
      </c>
      <c r="X195" s="343">
        <f>V195</f>
        <v>2000</v>
      </c>
      <c r="Y195" s="343">
        <f t="shared" si="32"/>
        <v>2000</v>
      </c>
      <c r="Z195" s="343"/>
      <c r="AA195" s="37" t="s">
        <v>996</v>
      </c>
      <c r="AB195" s="163">
        <v>2000</v>
      </c>
      <c r="AC195" s="314">
        <f t="shared" si="24"/>
        <v>0</v>
      </c>
      <c r="AD195" s="36"/>
      <c r="AE195" s="36"/>
      <c r="AF195" s="36">
        <v>4254</v>
      </c>
      <c r="AG195" s="37"/>
      <c r="AH195" s="37">
        <v>10000</v>
      </c>
      <c r="AI195" s="37"/>
      <c r="AJ195" s="37"/>
      <c r="AK195" s="24">
        <v>13000</v>
      </c>
      <c r="AL195" s="35">
        <f t="shared" si="30"/>
        <v>-2254</v>
      </c>
    </row>
    <row r="196" spans="1:31" s="41" customFormat="1" ht="51.75" customHeight="1">
      <c r="A196" s="298">
        <v>14</v>
      </c>
      <c r="B196" s="295" t="s">
        <v>215</v>
      </c>
      <c r="C196" s="54" t="s">
        <v>220</v>
      </c>
      <c r="D196" s="54" t="s">
        <v>216</v>
      </c>
      <c r="E196" s="54"/>
      <c r="F196" s="75" t="s">
        <v>217</v>
      </c>
      <c r="G196" s="356" t="s">
        <v>218</v>
      </c>
      <c r="H196" s="343">
        <v>40000</v>
      </c>
      <c r="I196" s="350">
        <v>528</v>
      </c>
      <c r="J196" s="413" t="s">
        <v>219</v>
      </c>
      <c r="K196" s="350">
        <v>40528</v>
      </c>
      <c r="L196" s="350"/>
      <c r="M196" s="350">
        <v>40000</v>
      </c>
      <c r="N196" s="350"/>
      <c r="O196" s="350">
        <v>36932</v>
      </c>
      <c r="P196" s="350"/>
      <c r="Q196" s="350"/>
      <c r="R196" s="350"/>
      <c r="S196" s="350"/>
      <c r="T196" s="350"/>
      <c r="U196" s="343">
        <v>526</v>
      </c>
      <c r="V196" s="343">
        <v>526</v>
      </c>
      <c r="W196" s="343">
        <f>V196</f>
        <v>526</v>
      </c>
      <c r="X196" s="343">
        <v>526</v>
      </c>
      <c r="Y196" s="343">
        <f t="shared" si="32"/>
        <v>526</v>
      </c>
      <c r="Z196" s="343"/>
      <c r="AA196" s="37" t="s">
        <v>995</v>
      </c>
      <c r="AB196" s="165">
        <v>526</v>
      </c>
      <c r="AC196" s="322">
        <f t="shared" si="24"/>
        <v>0</v>
      </c>
      <c r="AD196" s="162"/>
      <c r="AE196" s="162"/>
    </row>
    <row r="197" spans="1:31" s="41" customFormat="1" ht="49.5" customHeight="1">
      <c r="A197" s="298">
        <v>15</v>
      </c>
      <c r="B197" s="295" t="s">
        <v>233</v>
      </c>
      <c r="C197" s="54" t="s">
        <v>220</v>
      </c>
      <c r="D197" s="361"/>
      <c r="E197" s="361"/>
      <c r="F197" s="75" t="s">
        <v>121</v>
      </c>
      <c r="G197" s="356" t="s">
        <v>234</v>
      </c>
      <c r="H197" s="343">
        <v>13785</v>
      </c>
      <c r="I197" s="371">
        <f>H197/2</f>
        <v>6892.5</v>
      </c>
      <c r="J197" s="70"/>
      <c r="K197" s="70"/>
      <c r="L197" s="70"/>
      <c r="M197" s="301"/>
      <c r="N197" s="301"/>
      <c r="O197" s="70"/>
      <c r="P197" s="70"/>
      <c r="Q197" s="72">
        <v>1000</v>
      </c>
      <c r="R197" s="72"/>
      <c r="S197" s="72"/>
      <c r="T197" s="72"/>
      <c r="U197" s="343">
        <f>H197-Q197</f>
        <v>12785</v>
      </c>
      <c r="V197" s="343">
        <f>I197-Q197</f>
        <v>5892.5</v>
      </c>
      <c r="W197" s="343"/>
      <c r="X197" s="343">
        <v>2000</v>
      </c>
      <c r="Y197" s="343"/>
      <c r="Z197" s="343"/>
      <c r="AA197" s="37" t="s">
        <v>64</v>
      </c>
      <c r="AB197" s="165">
        <v>2662</v>
      </c>
      <c r="AC197" s="322">
        <f t="shared" si="24"/>
        <v>-662</v>
      </c>
      <c r="AD197" s="162"/>
      <c r="AE197" s="162">
        <f>V197-X197</f>
        <v>3892.5</v>
      </c>
    </row>
    <row r="198" spans="1:31" s="41" customFormat="1" ht="47.25" customHeight="1">
      <c r="A198" s="298">
        <v>16</v>
      </c>
      <c r="B198" s="359" t="s">
        <v>19</v>
      </c>
      <c r="C198" s="54" t="s">
        <v>220</v>
      </c>
      <c r="D198" s="54" t="s">
        <v>344</v>
      </c>
      <c r="E198" s="54"/>
      <c r="F198" s="75" t="s">
        <v>342</v>
      </c>
      <c r="G198" s="356" t="s">
        <v>812</v>
      </c>
      <c r="H198" s="343">
        <v>87000</v>
      </c>
      <c r="I198" s="350">
        <v>30000</v>
      </c>
      <c r="J198" s="72"/>
      <c r="K198" s="350"/>
      <c r="L198" s="350"/>
      <c r="M198" s="301">
        <v>25388</v>
      </c>
      <c r="N198" s="301"/>
      <c r="O198" s="301">
        <v>25388</v>
      </c>
      <c r="P198" s="301"/>
      <c r="Q198" s="350">
        <v>11000</v>
      </c>
      <c r="R198" s="350"/>
      <c r="S198" s="350"/>
      <c r="T198" s="350"/>
      <c r="U198" s="343">
        <v>30000</v>
      </c>
      <c r="V198" s="343">
        <f>U198</f>
        <v>30000</v>
      </c>
      <c r="W198" s="343">
        <v>5000</v>
      </c>
      <c r="X198" s="343">
        <v>4000</v>
      </c>
      <c r="Y198" s="343">
        <f>X198</f>
        <v>4000</v>
      </c>
      <c r="Z198" s="343"/>
      <c r="AA198" s="37" t="s">
        <v>994</v>
      </c>
      <c r="AB198" s="165">
        <v>5000</v>
      </c>
      <c r="AC198" s="322">
        <f t="shared" si="24"/>
        <v>-1000</v>
      </c>
      <c r="AD198" s="162"/>
      <c r="AE198" s="162">
        <f>V198-X198</f>
        <v>26000</v>
      </c>
    </row>
    <row r="199" spans="1:27" s="620" customFormat="1" ht="45" customHeight="1">
      <c r="A199" s="298">
        <v>17</v>
      </c>
      <c r="B199" s="624" t="s">
        <v>564</v>
      </c>
      <c r="C199" s="625" t="s">
        <v>802</v>
      </c>
      <c r="D199" s="481"/>
      <c r="E199" s="482"/>
      <c r="F199" s="483" t="s">
        <v>868</v>
      </c>
      <c r="G199" s="483" t="s">
        <v>565</v>
      </c>
      <c r="H199" s="626">
        <v>7000</v>
      </c>
      <c r="I199" s="626">
        <f>H199-2438</f>
        <v>4562</v>
      </c>
      <c r="J199" s="626"/>
      <c r="K199" s="626"/>
      <c r="L199" s="626"/>
      <c r="M199" s="626"/>
      <c r="N199" s="627"/>
      <c r="O199" s="626"/>
      <c r="P199" s="628"/>
      <c r="Q199" s="627">
        <f>2438</f>
        <v>2438</v>
      </c>
      <c r="R199" s="626"/>
      <c r="S199" s="626"/>
      <c r="T199" s="628">
        <v>5200</v>
      </c>
      <c r="U199" s="627">
        <f>I199</f>
        <v>4562</v>
      </c>
      <c r="V199" s="157">
        <f>U199</f>
        <v>4562</v>
      </c>
      <c r="W199" s="157">
        <v>2000</v>
      </c>
      <c r="X199" s="617">
        <v>1762</v>
      </c>
      <c r="Y199" s="618">
        <f>X199</f>
        <v>1762</v>
      </c>
      <c r="Z199" s="619"/>
      <c r="AA199" s="158" t="s">
        <v>567</v>
      </c>
    </row>
    <row r="200" spans="1:31" s="620" customFormat="1" ht="47.25" customHeight="1">
      <c r="A200" s="298">
        <v>18</v>
      </c>
      <c r="B200" s="624" t="s">
        <v>561</v>
      </c>
      <c r="C200" s="481"/>
      <c r="D200" s="481"/>
      <c r="E200" s="482"/>
      <c r="F200" s="483" t="s">
        <v>562</v>
      </c>
      <c r="G200" s="483" t="s">
        <v>562</v>
      </c>
      <c r="H200" s="626">
        <v>6800</v>
      </c>
      <c r="I200" s="626">
        <f>H200-2400</f>
        <v>4400</v>
      </c>
      <c r="J200" s="626"/>
      <c r="K200" s="626"/>
      <c r="L200" s="626"/>
      <c r="M200" s="626"/>
      <c r="N200" s="626"/>
      <c r="O200" s="627"/>
      <c r="P200" s="626"/>
      <c r="Q200" s="626">
        <v>2400</v>
      </c>
      <c r="R200" s="626"/>
      <c r="S200" s="626"/>
      <c r="T200" s="626"/>
      <c r="U200" s="627">
        <f>I200</f>
        <v>4400</v>
      </c>
      <c r="V200" s="157">
        <f>U200</f>
        <v>4400</v>
      </c>
      <c r="W200" s="157">
        <v>2000</v>
      </c>
      <c r="X200" s="617">
        <f>Y200</f>
        <v>1780</v>
      </c>
      <c r="Y200" s="617">
        <v>1780</v>
      </c>
      <c r="Z200" s="616" t="s">
        <v>567</v>
      </c>
      <c r="AA200" s="158" t="s">
        <v>980</v>
      </c>
      <c r="AB200" s="621">
        <v>2000</v>
      </c>
      <c r="AC200" s="622">
        <f t="shared" si="24"/>
        <v>-220</v>
      </c>
      <c r="AD200" s="623"/>
      <c r="AE200" s="623">
        <f>V200-X200</f>
        <v>2620</v>
      </c>
    </row>
    <row r="201" spans="1:31" s="41" customFormat="1" ht="48.75" customHeight="1">
      <c r="A201" s="298">
        <v>19</v>
      </c>
      <c r="B201" s="226" t="s">
        <v>672</v>
      </c>
      <c r="C201" s="54"/>
      <c r="D201" s="361"/>
      <c r="E201" s="361"/>
      <c r="F201" s="75"/>
      <c r="G201" s="229" t="s">
        <v>764</v>
      </c>
      <c r="H201" s="71">
        <v>3953</v>
      </c>
      <c r="I201" s="71">
        <v>991</v>
      </c>
      <c r="J201" s="70"/>
      <c r="K201" s="70"/>
      <c r="L201" s="70"/>
      <c r="M201" s="70"/>
      <c r="N201" s="70"/>
      <c r="O201" s="70"/>
      <c r="P201" s="70"/>
      <c r="Q201" s="70"/>
      <c r="R201" s="70"/>
      <c r="S201" s="70"/>
      <c r="T201" s="70"/>
      <c r="U201" s="391">
        <v>510</v>
      </c>
      <c r="V201" s="391">
        <f>U201</f>
        <v>510</v>
      </c>
      <c r="W201" s="391">
        <f>V201</f>
        <v>510</v>
      </c>
      <c r="X201" s="343">
        <f>W201</f>
        <v>510</v>
      </c>
      <c r="Y201" s="343">
        <f>X201</f>
        <v>510</v>
      </c>
      <c r="Z201" s="275"/>
      <c r="AA201" s="37" t="s">
        <v>546</v>
      </c>
      <c r="AB201" s="165">
        <v>510</v>
      </c>
      <c r="AC201" s="322">
        <f t="shared" si="24"/>
        <v>0</v>
      </c>
      <c r="AD201" s="162">
        <f>+X201</f>
        <v>510</v>
      </c>
      <c r="AE201" s="162">
        <f>V201-X201</f>
        <v>0</v>
      </c>
    </row>
    <row r="202" spans="1:38" s="273" customFormat="1" ht="17.25" customHeight="1">
      <c r="A202" s="415"/>
      <c r="B202" s="226"/>
      <c r="C202" s="54"/>
      <c r="D202" s="361"/>
      <c r="E202" s="361"/>
      <c r="F202" s="75"/>
      <c r="G202" s="229"/>
      <c r="H202" s="71"/>
      <c r="I202" s="71"/>
      <c r="J202" s="70"/>
      <c r="K202" s="70"/>
      <c r="L202" s="70"/>
      <c r="M202" s="70"/>
      <c r="N202" s="70"/>
      <c r="O202" s="70"/>
      <c r="P202" s="70"/>
      <c r="Q202" s="70"/>
      <c r="R202" s="70"/>
      <c r="S202" s="70"/>
      <c r="T202" s="70"/>
      <c r="U202" s="391"/>
      <c r="V202" s="391"/>
      <c r="W202" s="391"/>
      <c r="X202" s="343"/>
      <c r="Y202" s="343"/>
      <c r="Z202" s="275"/>
      <c r="AA202" s="37"/>
      <c r="AB202" s="163"/>
      <c r="AC202" s="314">
        <f t="shared" si="24"/>
        <v>0</v>
      </c>
      <c r="AD202" s="32"/>
      <c r="AE202" s="32"/>
      <c r="AF202" s="32"/>
      <c r="AG202" s="33"/>
      <c r="AH202" s="37"/>
      <c r="AI202" s="37"/>
      <c r="AJ202" s="37"/>
      <c r="AK202" s="24"/>
      <c r="AL202" s="35"/>
    </row>
    <row r="203" spans="1:38" s="273" customFormat="1" ht="26.25" customHeight="1">
      <c r="A203" s="382" t="s">
        <v>47</v>
      </c>
      <c r="B203" s="351" t="s">
        <v>57</v>
      </c>
      <c r="C203" s="54"/>
      <c r="D203" s="361"/>
      <c r="E203" s="361"/>
      <c r="F203" s="75"/>
      <c r="G203" s="361"/>
      <c r="H203" s="275">
        <f aca="true" t="shared" si="33" ref="H203:W203">SUM(H204:H221)</f>
        <v>228185</v>
      </c>
      <c r="I203" s="275">
        <f t="shared" si="33"/>
        <v>62308.9</v>
      </c>
      <c r="J203" s="275">
        <f t="shared" si="33"/>
        <v>0</v>
      </c>
      <c r="K203" s="275">
        <f t="shared" si="33"/>
        <v>69440</v>
      </c>
      <c r="L203" s="275">
        <f t="shared" si="33"/>
        <v>137249</v>
      </c>
      <c r="M203" s="275">
        <f t="shared" si="33"/>
        <v>62719</v>
      </c>
      <c r="N203" s="275">
        <f t="shared" si="33"/>
        <v>20396</v>
      </c>
      <c r="O203" s="275">
        <f t="shared" si="33"/>
        <v>93106</v>
      </c>
      <c r="P203" s="275">
        <f t="shared" si="33"/>
        <v>28373</v>
      </c>
      <c r="Q203" s="275">
        <f t="shared" si="33"/>
        <v>51200</v>
      </c>
      <c r="R203" s="275">
        <f t="shared" si="33"/>
        <v>46580</v>
      </c>
      <c r="S203" s="275">
        <f t="shared" si="33"/>
        <v>0</v>
      </c>
      <c r="T203" s="275">
        <f t="shared" si="33"/>
        <v>4900</v>
      </c>
      <c r="U203" s="275">
        <f t="shared" si="33"/>
        <v>83761.888</v>
      </c>
      <c r="V203" s="275">
        <f t="shared" si="33"/>
        <v>27296.788</v>
      </c>
      <c r="W203" s="275">
        <f t="shared" si="33"/>
        <v>10481.887999999999</v>
      </c>
      <c r="X203" s="275">
        <f>SUM(X204:X221)</f>
        <v>20224.5233</v>
      </c>
      <c r="Y203" s="275">
        <f>SUM(Y204:Y221)</f>
        <v>14694.6233</v>
      </c>
      <c r="Z203" s="275">
        <f>SUM(Z214:Z220)</f>
        <v>0</v>
      </c>
      <c r="AA203" s="33">
        <v>20224.789282031998</v>
      </c>
      <c r="AB203" s="316">
        <v>20224.5233</v>
      </c>
      <c r="AC203" s="317">
        <f t="shared" si="24"/>
        <v>0</v>
      </c>
      <c r="AD203" s="32"/>
      <c r="AE203" s="32">
        <f>SUM(AE197:AE202)</f>
        <v>32512.5</v>
      </c>
      <c r="AF203" s="32">
        <v>20771.888</v>
      </c>
      <c r="AG203" s="33"/>
      <c r="AH203" s="37">
        <f>V203-X203</f>
        <v>7072.2647</v>
      </c>
      <c r="AI203" s="37">
        <f>X203-AH203</f>
        <v>13152.258600000001</v>
      </c>
      <c r="AJ203" s="37"/>
      <c r="AK203" s="24">
        <f>X203-AA203</f>
        <v>-0.2659820319968276</v>
      </c>
      <c r="AL203" s="35">
        <f>+X203-AF203</f>
        <v>-547.3646999999983</v>
      </c>
    </row>
    <row r="204" spans="1:38" s="273" customFormat="1" ht="48.75" customHeight="1">
      <c r="A204" s="298">
        <v>1</v>
      </c>
      <c r="B204" s="388" t="s">
        <v>605</v>
      </c>
      <c r="C204" s="54"/>
      <c r="D204" s="361"/>
      <c r="E204" s="361"/>
      <c r="F204" s="75"/>
      <c r="G204" s="361"/>
      <c r="H204" s="275"/>
      <c r="I204" s="275"/>
      <c r="J204" s="275"/>
      <c r="K204" s="275"/>
      <c r="L204" s="275"/>
      <c r="M204" s="275"/>
      <c r="N204" s="275"/>
      <c r="O204" s="275"/>
      <c r="P204" s="275"/>
      <c r="Q204" s="275"/>
      <c r="R204" s="275"/>
      <c r="S204" s="275"/>
      <c r="T204" s="275"/>
      <c r="U204" s="275"/>
      <c r="V204" s="275"/>
      <c r="W204" s="275"/>
      <c r="X204" s="411">
        <v>314.72545</v>
      </c>
      <c r="Y204" s="411">
        <f aca="true" t="shared" si="34" ref="Y204:Y211">X204</f>
        <v>314.72545</v>
      </c>
      <c r="Z204" s="275"/>
      <c r="AA204" s="37" t="s">
        <v>520</v>
      </c>
      <c r="AB204" s="319">
        <v>314.72545</v>
      </c>
      <c r="AC204" s="320">
        <f t="shared" si="24"/>
        <v>0</v>
      </c>
      <c r="AD204" s="36"/>
      <c r="AE204" s="36"/>
      <c r="AF204" s="32"/>
      <c r="AG204" s="33"/>
      <c r="AH204" s="37"/>
      <c r="AI204" s="37"/>
      <c r="AJ204" s="37"/>
      <c r="AK204" s="24"/>
      <c r="AL204" s="35"/>
    </row>
    <row r="205" spans="1:38" s="273" customFormat="1" ht="39.75" customHeight="1">
      <c r="A205" s="298">
        <v>2</v>
      </c>
      <c r="B205" s="388" t="s">
        <v>608</v>
      </c>
      <c r="C205" s="54"/>
      <c r="D205" s="361"/>
      <c r="E205" s="361"/>
      <c r="F205" s="75"/>
      <c r="G205" s="361"/>
      <c r="H205" s="275"/>
      <c r="I205" s="275"/>
      <c r="J205" s="275"/>
      <c r="K205" s="275"/>
      <c r="L205" s="275"/>
      <c r="M205" s="275"/>
      <c r="N205" s="275"/>
      <c r="O205" s="275"/>
      <c r="P205" s="275"/>
      <c r="Q205" s="275"/>
      <c r="R205" s="275"/>
      <c r="S205" s="275"/>
      <c r="T205" s="275"/>
      <c r="U205" s="275"/>
      <c r="V205" s="275"/>
      <c r="W205" s="275"/>
      <c r="X205" s="411">
        <v>15.76</v>
      </c>
      <c r="Y205" s="411">
        <f t="shared" si="34"/>
        <v>15.76</v>
      </c>
      <c r="Z205" s="275"/>
      <c r="AA205" s="37" t="s">
        <v>520</v>
      </c>
      <c r="AB205" s="319">
        <v>15.76</v>
      </c>
      <c r="AC205" s="320">
        <f t="shared" si="24"/>
        <v>0</v>
      </c>
      <c r="AD205" s="36"/>
      <c r="AE205" s="36"/>
      <c r="AF205" s="32"/>
      <c r="AG205" s="33"/>
      <c r="AH205" s="37"/>
      <c r="AI205" s="37"/>
      <c r="AJ205" s="37"/>
      <c r="AK205" s="24"/>
      <c r="AL205" s="35"/>
    </row>
    <row r="206" spans="1:38" s="273" customFormat="1" ht="38.25">
      <c r="A206" s="298">
        <v>3</v>
      </c>
      <c r="B206" s="388" t="s">
        <v>612</v>
      </c>
      <c r="C206" s="54"/>
      <c r="D206" s="361"/>
      <c r="E206" s="361"/>
      <c r="F206" s="75"/>
      <c r="G206" s="361"/>
      <c r="H206" s="275"/>
      <c r="I206" s="275"/>
      <c r="J206" s="275"/>
      <c r="K206" s="275"/>
      <c r="L206" s="275"/>
      <c r="M206" s="275"/>
      <c r="N206" s="275"/>
      <c r="O206" s="275"/>
      <c r="P206" s="275"/>
      <c r="Q206" s="275"/>
      <c r="R206" s="275"/>
      <c r="S206" s="275"/>
      <c r="T206" s="275"/>
      <c r="U206" s="275"/>
      <c r="V206" s="275"/>
      <c r="W206" s="275"/>
      <c r="X206" s="411">
        <v>64.102</v>
      </c>
      <c r="Y206" s="411">
        <f t="shared" si="34"/>
        <v>64.102</v>
      </c>
      <c r="Z206" s="275"/>
      <c r="AA206" s="37" t="s">
        <v>520</v>
      </c>
      <c r="AB206" s="319">
        <v>64.102</v>
      </c>
      <c r="AC206" s="320">
        <f t="shared" si="24"/>
        <v>0</v>
      </c>
      <c r="AD206" s="36"/>
      <c r="AE206" s="36"/>
      <c r="AF206" s="32"/>
      <c r="AG206" s="33"/>
      <c r="AH206" s="37"/>
      <c r="AI206" s="37"/>
      <c r="AJ206" s="37"/>
      <c r="AK206" s="24"/>
      <c r="AL206" s="35"/>
    </row>
    <row r="207" spans="1:38" s="273" customFormat="1" ht="38.25">
      <c r="A207" s="298">
        <v>4</v>
      </c>
      <c r="B207" s="388" t="s">
        <v>613</v>
      </c>
      <c r="C207" s="54"/>
      <c r="D207" s="361"/>
      <c r="E207" s="361"/>
      <c r="F207" s="75"/>
      <c r="G207" s="361"/>
      <c r="H207" s="275"/>
      <c r="I207" s="275"/>
      <c r="J207" s="275"/>
      <c r="K207" s="275"/>
      <c r="L207" s="275"/>
      <c r="M207" s="275"/>
      <c r="N207" s="275"/>
      <c r="O207" s="275"/>
      <c r="P207" s="275"/>
      <c r="Q207" s="275"/>
      <c r="R207" s="275"/>
      <c r="S207" s="275"/>
      <c r="T207" s="275"/>
      <c r="U207" s="275"/>
      <c r="V207" s="275"/>
      <c r="W207" s="275"/>
      <c r="X207" s="411">
        <v>21.251</v>
      </c>
      <c r="Y207" s="411">
        <f t="shared" si="34"/>
        <v>21.251</v>
      </c>
      <c r="Z207" s="275"/>
      <c r="AA207" s="37" t="s">
        <v>520</v>
      </c>
      <c r="AB207" s="319">
        <v>21.251</v>
      </c>
      <c r="AC207" s="320">
        <f t="shared" si="24"/>
        <v>0</v>
      </c>
      <c r="AD207" s="36"/>
      <c r="AE207" s="36"/>
      <c r="AF207" s="32"/>
      <c r="AG207" s="33"/>
      <c r="AH207" s="37"/>
      <c r="AI207" s="37"/>
      <c r="AJ207" s="37"/>
      <c r="AK207" s="24"/>
      <c r="AL207" s="35"/>
    </row>
    <row r="208" spans="1:38" s="273" customFormat="1" ht="37.5" customHeight="1">
      <c r="A208" s="298">
        <v>5</v>
      </c>
      <c r="B208" s="388" t="s">
        <v>614</v>
      </c>
      <c r="C208" s="54"/>
      <c r="D208" s="361"/>
      <c r="E208" s="361"/>
      <c r="F208" s="75"/>
      <c r="G208" s="361"/>
      <c r="H208" s="275"/>
      <c r="I208" s="275"/>
      <c r="J208" s="275"/>
      <c r="K208" s="275"/>
      <c r="L208" s="275"/>
      <c r="M208" s="275"/>
      <c r="N208" s="275"/>
      <c r="O208" s="275"/>
      <c r="P208" s="275"/>
      <c r="Q208" s="275"/>
      <c r="R208" s="275"/>
      <c r="S208" s="275"/>
      <c r="T208" s="275"/>
      <c r="U208" s="275"/>
      <c r="V208" s="275"/>
      <c r="W208" s="275"/>
      <c r="X208" s="411">
        <v>83.96685</v>
      </c>
      <c r="Y208" s="411">
        <f t="shared" si="34"/>
        <v>83.96685</v>
      </c>
      <c r="Z208" s="275"/>
      <c r="AA208" s="37" t="s">
        <v>520</v>
      </c>
      <c r="AB208" s="319">
        <v>83.96685</v>
      </c>
      <c r="AC208" s="320">
        <f t="shared" si="24"/>
        <v>0</v>
      </c>
      <c r="AD208" s="36"/>
      <c r="AE208" s="36"/>
      <c r="AF208" s="32"/>
      <c r="AG208" s="33"/>
      <c r="AH208" s="37"/>
      <c r="AI208" s="37"/>
      <c r="AJ208" s="37"/>
      <c r="AK208" s="24"/>
      <c r="AL208" s="35"/>
    </row>
    <row r="209" spans="1:38" s="273" customFormat="1" ht="38.25">
      <c r="A209" s="298">
        <v>6</v>
      </c>
      <c r="B209" s="388" t="s">
        <v>617</v>
      </c>
      <c r="C209" s="54"/>
      <c r="D209" s="361"/>
      <c r="E209" s="361"/>
      <c r="F209" s="75"/>
      <c r="G209" s="361"/>
      <c r="H209" s="275"/>
      <c r="I209" s="275"/>
      <c r="J209" s="275"/>
      <c r="K209" s="275"/>
      <c r="L209" s="275"/>
      <c r="M209" s="275"/>
      <c r="N209" s="275"/>
      <c r="O209" s="275"/>
      <c r="P209" s="275"/>
      <c r="Q209" s="275"/>
      <c r="R209" s="275"/>
      <c r="S209" s="275"/>
      <c r="T209" s="275"/>
      <c r="U209" s="275"/>
      <c r="V209" s="275"/>
      <c r="W209" s="275"/>
      <c r="X209" s="411">
        <v>337.435</v>
      </c>
      <c r="Y209" s="411">
        <f t="shared" si="34"/>
        <v>337.435</v>
      </c>
      <c r="Z209" s="275"/>
      <c r="AA209" s="37" t="s">
        <v>520</v>
      </c>
      <c r="AB209" s="319">
        <v>337.435</v>
      </c>
      <c r="AC209" s="320">
        <f t="shared" si="24"/>
        <v>0</v>
      </c>
      <c r="AD209" s="36"/>
      <c r="AE209" s="36"/>
      <c r="AF209" s="32"/>
      <c r="AG209" s="33"/>
      <c r="AH209" s="37"/>
      <c r="AI209" s="37"/>
      <c r="AJ209" s="37"/>
      <c r="AK209" s="24"/>
      <c r="AL209" s="35"/>
    </row>
    <row r="210" spans="1:38" s="273" customFormat="1" ht="38.25">
      <c r="A210" s="298">
        <v>7</v>
      </c>
      <c r="B210" s="388" t="s">
        <v>619</v>
      </c>
      <c r="C210" s="54"/>
      <c r="D210" s="361"/>
      <c r="E210" s="361"/>
      <c r="F210" s="75"/>
      <c r="G210" s="361"/>
      <c r="H210" s="275"/>
      <c r="I210" s="275"/>
      <c r="J210" s="275"/>
      <c r="K210" s="275"/>
      <c r="L210" s="275"/>
      <c r="M210" s="275"/>
      <c r="N210" s="275"/>
      <c r="O210" s="275"/>
      <c r="P210" s="275"/>
      <c r="Q210" s="275"/>
      <c r="R210" s="275"/>
      <c r="S210" s="275"/>
      <c r="T210" s="275"/>
      <c r="U210" s="275"/>
      <c r="V210" s="275"/>
      <c r="W210" s="275"/>
      <c r="X210" s="411">
        <v>61.389</v>
      </c>
      <c r="Y210" s="411">
        <f t="shared" si="34"/>
        <v>61.389</v>
      </c>
      <c r="Z210" s="275"/>
      <c r="AA210" s="37" t="s">
        <v>520</v>
      </c>
      <c r="AB210" s="319">
        <v>61.389</v>
      </c>
      <c r="AC210" s="320">
        <f t="shared" si="24"/>
        <v>0</v>
      </c>
      <c r="AD210" s="36"/>
      <c r="AE210" s="36"/>
      <c r="AF210" s="32"/>
      <c r="AG210" s="33"/>
      <c r="AH210" s="37"/>
      <c r="AI210" s="37"/>
      <c r="AJ210" s="37"/>
      <c r="AK210" s="24"/>
      <c r="AL210" s="35"/>
    </row>
    <row r="211" spans="1:38" s="273" customFormat="1" ht="38.25">
      <c r="A211" s="298">
        <v>8</v>
      </c>
      <c r="B211" s="388" t="s">
        <v>621</v>
      </c>
      <c r="C211" s="54"/>
      <c r="D211" s="361"/>
      <c r="E211" s="361"/>
      <c r="F211" s="75"/>
      <c r="G211" s="361"/>
      <c r="H211" s="275"/>
      <c r="I211" s="275"/>
      <c r="J211" s="275"/>
      <c r="K211" s="275"/>
      <c r="L211" s="275"/>
      <c r="M211" s="275"/>
      <c r="N211" s="275"/>
      <c r="O211" s="275"/>
      <c r="P211" s="275"/>
      <c r="Q211" s="275"/>
      <c r="R211" s="275"/>
      <c r="S211" s="275"/>
      <c r="T211" s="275"/>
      <c r="U211" s="275"/>
      <c r="V211" s="275"/>
      <c r="W211" s="275"/>
      <c r="X211" s="411">
        <v>7.425</v>
      </c>
      <c r="Y211" s="411">
        <f t="shared" si="34"/>
        <v>7.425</v>
      </c>
      <c r="Z211" s="275"/>
      <c r="AA211" s="37" t="s">
        <v>520</v>
      </c>
      <c r="AB211" s="319">
        <v>7.425</v>
      </c>
      <c r="AC211" s="320">
        <f t="shared" si="24"/>
        <v>0</v>
      </c>
      <c r="AD211" s="36"/>
      <c r="AE211" s="36"/>
      <c r="AF211" s="32"/>
      <c r="AG211" s="33"/>
      <c r="AH211" s="37"/>
      <c r="AI211" s="37"/>
      <c r="AJ211" s="37"/>
      <c r="AK211" s="24"/>
      <c r="AL211" s="35"/>
    </row>
    <row r="212" spans="1:38" s="273" customFormat="1" ht="51">
      <c r="A212" s="298">
        <v>9</v>
      </c>
      <c r="B212" s="226" t="s">
        <v>671</v>
      </c>
      <c r="C212" s="54"/>
      <c r="D212" s="361"/>
      <c r="E212" s="361"/>
      <c r="F212" s="75"/>
      <c r="G212" s="229" t="s">
        <v>763</v>
      </c>
      <c r="H212" s="71">
        <v>1050</v>
      </c>
      <c r="I212" s="71">
        <v>81</v>
      </c>
      <c r="J212" s="275"/>
      <c r="K212" s="275"/>
      <c r="L212" s="275"/>
      <c r="M212" s="275"/>
      <c r="N212" s="275"/>
      <c r="O212" s="275"/>
      <c r="P212" s="275"/>
      <c r="Q212" s="275"/>
      <c r="R212" s="275"/>
      <c r="S212" s="275"/>
      <c r="T212" s="275"/>
      <c r="U212" s="71">
        <v>81</v>
      </c>
      <c r="V212" s="71">
        <v>81</v>
      </c>
      <c r="W212" s="71">
        <v>81</v>
      </c>
      <c r="X212" s="71">
        <v>81</v>
      </c>
      <c r="Y212" s="71">
        <v>81</v>
      </c>
      <c r="Z212" s="275"/>
      <c r="AA212" s="37" t="s">
        <v>520</v>
      </c>
      <c r="AB212" s="164">
        <v>81</v>
      </c>
      <c r="AC212" s="164">
        <f t="shared" si="24"/>
        <v>0</v>
      </c>
      <c r="AD212" s="36">
        <f>Y212</f>
        <v>81</v>
      </c>
      <c r="AE212" s="36"/>
      <c r="AF212" s="32"/>
      <c r="AG212" s="33"/>
      <c r="AH212" s="37"/>
      <c r="AI212" s="37"/>
      <c r="AJ212" s="37"/>
      <c r="AK212" s="24"/>
      <c r="AL212" s="35"/>
    </row>
    <row r="213" spans="1:243" s="40" customFormat="1" ht="63.75">
      <c r="A213" s="298">
        <v>10</v>
      </c>
      <c r="B213" s="416" t="s">
        <v>543</v>
      </c>
      <c r="C213" s="54" t="s">
        <v>184</v>
      </c>
      <c r="D213" s="26"/>
      <c r="E213" s="26"/>
      <c r="F213" s="75"/>
      <c r="G213" s="365" t="s">
        <v>544</v>
      </c>
      <c r="H213" s="71">
        <v>5400</v>
      </c>
      <c r="I213" s="71">
        <f>H213</f>
        <v>5400</v>
      </c>
      <c r="J213" s="71"/>
      <c r="K213" s="71"/>
      <c r="L213" s="71"/>
      <c r="M213" s="71"/>
      <c r="N213" s="71"/>
      <c r="O213" s="71">
        <v>3772</v>
      </c>
      <c r="P213" s="71">
        <f>O213</f>
        <v>3772</v>
      </c>
      <c r="Q213" s="71"/>
      <c r="R213" s="71"/>
      <c r="S213" s="71"/>
      <c r="T213" s="71"/>
      <c r="U213" s="71">
        <v>571</v>
      </c>
      <c r="V213" s="71">
        <f>U213</f>
        <v>571</v>
      </c>
      <c r="W213" s="71">
        <f>V213</f>
        <v>571</v>
      </c>
      <c r="X213" s="411">
        <v>507.681</v>
      </c>
      <c r="Y213" s="411">
        <v>507.681</v>
      </c>
      <c r="Z213" s="71"/>
      <c r="AA213" s="13" t="s">
        <v>545</v>
      </c>
      <c r="AB213" s="319">
        <v>507.681</v>
      </c>
      <c r="AC213" s="320">
        <f t="shared" si="24"/>
        <v>0</v>
      </c>
      <c r="AD213" s="42"/>
      <c r="AE213" s="42"/>
      <c r="AF213" s="42"/>
      <c r="AG213" s="13"/>
      <c r="AH213" s="37"/>
      <c r="AI213" s="37"/>
      <c r="AJ213" s="37"/>
      <c r="AK213" s="24"/>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c r="EV213" s="38"/>
      <c r="EW213" s="38"/>
      <c r="EX213" s="38"/>
      <c r="EY213" s="38"/>
      <c r="EZ213" s="38"/>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1"/>
      <c r="IB213" s="31"/>
      <c r="IC213" s="31"/>
      <c r="ID213" s="31"/>
      <c r="IE213" s="31"/>
      <c r="IF213" s="31"/>
      <c r="IG213" s="31"/>
      <c r="IH213" s="31"/>
      <c r="II213" s="31"/>
    </row>
    <row r="214" spans="1:38" s="41" customFormat="1" ht="38.25">
      <c r="A214" s="298">
        <v>11</v>
      </c>
      <c r="B214" s="295" t="s">
        <v>118</v>
      </c>
      <c r="C214" s="54" t="s">
        <v>184</v>
      </c>
      <c r="D214" s="54"/>
      <c r="E214" s="54"/>
      <c r="F214" s="75" t="s">
        <v>265</v>
      </c>
      <c r="G214" s="356" t="s">
        <v>119</v>
      </c>
      <c r="H214" s="72">
        <v>5387</v>
      </c>
      <c r="I214" s="72">
        <f>H214</f>
        <v>5387</v>
      </c>
      <c r="J214" s="72"/>
      <c r="K214" s="72"/>
      <c r="L214" s="72"/>
      <c r="M214" s="72">
        <v>1600</v>
      </c>
      <c r="N214" s="72"/>
      <c r="O214" s="72">
        <v>1600</v>
      </c>
      <c r="P214" s="72">
        <f>O214</f>
        <v>1600</v>
      </c>
      <c r="Q214" s="72">
        <v>1310</v>
      </c>
      <c r="R214" s="72"/>
      <c r="S214" s="72"/>
      <c r="T214" s="72"/>
      <c r="U214" s="343">
        <f>H214-O214-Q214</f>
        <v>2477</v>
      </c>
      <c r="V214" s="343">
        <f aca="true" t="shared" si="35" ref="V214:Y216">U214</f>
        <v>2477</v>
      </c>
      <c r="W214" s="343">
        <f t="shared" si="35"/>
        <v>2477</v>
      </c>
      <c r="X214" s="343">
        <f t="shared" si="35"/>
        <v>2477</v>
      </c>
      <c r="Y214" s="343">
        <f t="shared" si="35"/>
        <v>2477</v>
      </c>
      <c r="Z214" s="343"/>
      <c r="AA214" s="37" t="s">
        <v>364</v>
      </c>
      <c r="AB214" s="163">
        <v>2477</v>
      </c>
      <c r="AC214" s="314">
        <f t="shared" si="24"/>
        <v>0</v>
      </c>
      <c r="AD214" s="36"/>
      <c r="AE214" s="36"/>
      <c r="AF214" s="36">
        <v>2477</v>
      </c>
      <c r="AG214" s="37"/>
      <c r="AH214" s="37">
        <f>V214-X214</f>
        <v>0</v>
      </c>
      <c r="AI214" s="37"/>
      <c r="AJ214" s="37"/>
      <c r="AK214" s="24">
        <v>1755</v>
      </c>
      <c r="AL214" s="35">
        <f>+X214-AF214</f>
        <v>0</v>
      </c>
    </row>
    <row r="215" spans="1:38" s="41" customFormat="1" ht="63.75">
      <c r="A215" s="298">
        <v>12</v>
      </c>
      <c r="B215" s="349" t="s">
        <v>126</v>
      </c>
      <c r="C215" s="54" t="s">
        <v>184</v>
      </c>
      <c r="D215" s="54"/>
      <c r="E215" s="54"/>
      <c r="F215" s="75" t="s">
        <v>347</v>
      </c>
      <c r="G215" s="417" t="s">
        <v>181</v>
      </c>
      <c r="H215" s="72">
        <v>7825</v>
      </c>
      <c r="I215" s="72">
        <v>417</v>
      </c>
      <c r="J215" s="72"/>
      <c r="K215" s="72"/>
      <c r="L215" s="72"/>
      <c r="M215" s="72">
        <v>7116</v>
      </c>
      <c r="N215" s="72">
        <v>6996</v>
      </c>
      <c r="O215" s="72">
        <v>7116</v>
      </c>
      <c r="P215" s="72"/>
      <c r="Q215" s="72"/>
      <c r="R215" s="72"/>
      <c r="S215" s="72"/>
      <c r="T215" s="72"/>
      <c r="U215" s="343">
        <v>416.8879999999999</v>
      </c>
      <c r="V215" s="343">
        <f t="shared" si="35"/>
        <v>416.8879999999999</v>
      </c>
      <c r="W215" s="343">
        <f t="shared" si="35"/>
        <v>416.8879999999999</v>
      </c>
      <c r="X215" s="343">
        <f t="shared" si="35"/>
        <v>416.8879999999999</v>
      </c>
      <c r="Y215" s="343">
        <f t="shared" si="35"/>
        <v>416.8879999999999</v>
      </c>
      <c r="Z215" s="343"/>
      <c r="AA215" s="37" t="s">
        <v>364</v>
      </c>
      <c r="AB215" s="163">
        <v>416.8879999999999</v>
      </c>
      <c r="AC215" s="314">
        <f t="shared" si="24"/>
        <v>0</v>
      </c>
      <c r="AD215" s="36"/>
      <c r="AE215" s="36"/>
      <c r="AF215" s="36">
        <v>416.8879999999999</v>
      </c>
      <c r="AG215" s="37"/>
      <c r="AH215" s="37">
        <f>V215-X215</f>
        <v>0</v>
      </c>
      <c r="AI215" s="37"/>
      <c r="AJ215" s="37"/>
      <c r="AK215" s="24">
        <f>U214-AK214</f>
        <v>722</v>
      </c>
      <c r="AL215" s="35">
        <f>+X215-AF215</f>
        <v>0</v>
      </c>
    </row>
    <row r="216" spans="1:38" s="41" customFormat="1" ht="51">
      <c r="A216" s="298">
        <v>13</v>
      </c>
      <c r="B216" s="295" t="s">
        <v>122</v>
      </c>
      <c r="C216" s="54" t="s">
        <v>184</v>
      </c>
      <c r="D216" s="54"/>
      <c r="E216" s="54"/>
      <c r="F216" s="75" t="s">
        <v>336</v>
      </c>
      <c r="G216" s="356" t="s">
        <v>123</v>
      </c>
      <c r="H216" s="72">
        <v>12874</v>
      </c>
      <c r="I216" s="72">
        <f>H216</f>
        <v>12874</v>
      </c>
      <c r="J216" s="385" t="s">
        <v>239</v>
      </c>
      <c r="K216" s="72">
        <v>14791</v>
      </c>
      <c r="L216" s="72"/>
      <c r="M216" s="72">
        <f>O216</f>
        <v>6301</v>
      </c>
      <c r="N216" s="72"/>
      <c r="O216" s="72">
        <v>6301</v>
      </c>
      <c r="P216" s="72">
        <f>O216</f>
        <v>6301</v>
      </c>
      <c r="Q216" s="72">
        <v>2600</v>
      </c>
      <c r="R216" s="72"/>
      <c r="S216" s="72"/>
      <c r="T216" s="72"/>
      <c r="U216" s="343">
        <v>5890</v>
      </c>
      <c r="V216" s="343">
        <f t="shared" si="35"/>
        <v>5890</v>
      </c>
      <c r="W216" s="343">
        <f t="shared" si="35"/>
        <v>5890</v>
      </c>
      <c r="X216" s="343">
        <f t="shared" si="35"/>
        <v>5890</v>
      </c>
      <c r="Y216" s="343">
        <f t="shared" si="35"/>
        <v>5890</v>
      </c>
      <c r="Z216" s="343"/>
      <c r="AA216" s="37" t="s">
        <v>364</v>
      </c>
      <c r="AB216" s="163">
        <v>5890</v>
      </c>
      <c r="AC216" s="314">
        <f t="shared" si="24"/>
        <v>0</v>
      </c>
      <c r="AD216" s="36"/>
      <c r="AE216" s="36"/>
      <c r="AF216" s="36">
        <v>5890</v>
      </c>
      <c r="AG216" s="37"/>
      <c r="AH216" s="37">
        <f>V216-X216</f>
        <v>0</v>
      </c>
      <c r="AI216" s="37"/>
      <c r="AJ216" s="37"/>
      <c r="AK216" s="24">
        <f>W216-Y216</f>
        <v>0</v>
      </c>
      <c r="AL216" s="35">
        <f>+X216-AF216</f>
        <v>0</v>
      </c>
    </row>
    <row r="217" spans="1:243" s="40" customFormat="1" ht="51">
      <c r="A217" s="298">
        <v>14</v>
      </c>
      <c r="B217" s="295" t="s">
        <v>194</v>
      </c>
      <c r="C217" s="54" t="s">
        <v>184</v>
      </c>
      <c r="D217" s="26"/>
      <c r="E217" s="26"/>
      <c r="F217" s="75" t="s">
        <v>21</v>
      </c>
      <c r="G217" s="26" t="s">
        <v>61</v>
      </c>
      <c r="H217" s="71">
        <v>54649</v>
      </c>
      <c r="I217" s="71">
        <v>19649</v>
      </c>
      <c r="J217" s="257" t="s">
        <v>60</v>
      </c>
      <c r="K217" s="71">
        <v>54649</v>
      </c>
      <c r="L217" s="71">
        <v>47249</v>
      </c>
      <c r="M217" s="71">
        <v>47702</v>
      </c>
      <c r="N217" s="71">
        <v>13400</v>
      </c>
      <c r="O217" s="71">
        <v>47702</v>
      </c>
      <c r="P217" s="71">
        <v>13400</v>
      </c>
      <c r="Q217" s="71">
        <v>4900</v>
      </c>
      <c r="R217" s="71">
        <v>4900</v>
      </c>
      <c r="S217" s="71"/>
      <c r="T217" s="71">
        <v>4900</v>
      </c>
      <c r="U217" s="71">
        <v>3370</v>
      </c>
      <c r="V217" s="71">
        <v>3370</v>
      </c>
      <c r="W217" s="71"/>
      <c r="X217" s="71">
        <v>3370</v>
      </c>
      <c r="Y217" s="71">
        <f>X217</f>
        <v>3370</v>
      </c>
      <c r="Z217" s="71"/>
      <c r="AA217" s="37" t="s">
        <v>364</v>
      </c>
      <c r="AB217" s="164">
        <v>3370</v>
      </c>
      <c r="AC217" s="164">
        <f t="shared" si="24"/>
        <v>0</v>
      </c>
      <c r="AD217" s="36"/>
      <c r="AE217" s="36"/>
      <c r="AF217" s="36">
        <v>3370</v>
      </c>
      <c r="AG217" s="37"/>
      <c r="AH217" s="37">
        <f>V217-X217</f>
        <v>0</v>
      </c>
      <c r="AI217" s="37"/>
      <c r="AJ217" s="37"/>
      <c r="AK217" s="24">
        <f>W217-Y217</f>
        <v>-3370</v>
      </c>
      <c r="AL217" s="35">
        <f>+X217-AF217</f>
        <v>0</v>
      </c>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row>
    <row r="218" spans="1:243" s="40" customFormat="1" ht="63.75">
      <c r="A218" s="298">
        <v>15</v>
      </c>
      <c r="B218" s="295" t="s">
        <v>540</v>
      </c>
      <c r="C218" s="54" t="s">
        <v>184</v>
      </c>
      <c r="D218" s="26"/>
      <c r="E218" s="26"/>
      <c r="F218" s="369" t="s">
        <v>541</v>
      </c>
      <c r="G218" s="26" t="s">
        <v>542</v>
      </c>
      <c r="H218" s="71">
        <v>28700</v>
      </c>
      <c r="I218" s="71">
        <f>3300+1046</f>
        <v>4346</v>
      </c>
      <c r="J218" s="257"/>
      <c r="K218" s="71"/>
      <c r="L218" s="71"/>
      <c r="M218" s="71"/>
      <c r="N218" s="71"/>
      <c r="O218" s="71">
        <f>27661-1046</f>
        <v>26615</v>
      </c>
      <c r="P218" s="71">
        <v>3300</v>
      </c>
      <c r="Q218" s="71"/>
      <c r="R218" s="71"/>
      <c r="S218" s="71"/>
      <c r="T218" s="71"/>
      <c r="U218" s="71">
        <v>1046</v>
      </c>
      <c r="V218" s="71">
        <f>U218</f>
        <v>1046</v>
      </c>
      <c r="W218" s="71">
        <f>V218</f>
        <v>1046</v>
      </c>
      <c r="X218" s="71">
        <f>V218</f>
        <v>1046</v>
      </c>
      <c r="Y218" s="71">
        <f>X218</f>
        <v>1046</v>
      </c>
      <c r="Z218" s="71"/>
      <c r="AA218" s="37" t="s">
        <v>364</v>
      </c>
      <c r="AB218" s="164">
        <v>1046</v>
      </c>
      <c r="AC218" s="164">
        <f t="shared" si="24"/>
        <v>0</v>
      </c>
      <c r="AD218" s="36"/>
      <c r="AE218" s="36"/>
      <c r="AF218" s="36"/>
      <c r="AG218" s="37"/>
      <c r="AH218" s="37"/>
      <c r="AI218" s="37"/>
      <c r="AJ218" s="37"/>
      <c r="AK218" s="24"/>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row>
    <row r="219" spans="1:38" s="41" customFormat="1" ht="63.75">
      <c r="A219" s="298">
        <v>16</v>
      </c>
      <c r="B219" s="295" t="s">
        <v>124</v>
      </c>
      <c r="C219" s="54" t="s">
        <v>184</v>
      </c>
      <c r="D219" s="54"/>
      <c r="E219" s="54"/>
      <c r="F219" s="75"/>
      <c r="G219" s="298" t="s">
        <v>125</v>
      </c>
      <c r="H219" s="72">
        <v>4450</v>
      </c>
      <c r="I219" s="72">
        <v>2670</v>
      </c>
      <c r="J219" s="72"/>
      <c r="K219" s="72"/>
      <c r="L219" s="72"/>
      <c r="M219" s="72">
        <v>0</v>
      </c>
      <c r="N219" s="72"/>
      <c r="O219" s="72">
        <v>0</v>
      </c>
      <c r="P219" s="72"/>
      <c r="Q219" s="72">
        <v>710</v>
      </c>
      <c r="R219" s="72"/>
      <c r="S219" s="72"/>
      <c r="T219" s="72"/>
      <c r="U219" s="343">
        <f>H219-M219-Q219</f>
        <v>3740</v>
      </c>
      <c r="V219" s="343">
        <f>I219-Q219</f>
        <v>1960</v>
      </c>
      <c r="W219" s="343"/>
      <c r="X219" s="343">
        <v>1960</v>
      </c>
      <c r="Y219" s="343">
        <f>V219-X219</f>
        <v>0</v>
      </c>
      <c r="Z219" s="343"/>
      <c r="AA219" s="37" t="s">
        <v>546</v>
      </c>
      <c r="AB219" s="163">
        <v>1960</v>
      </c>
      <c r="AC219" s="314">
        <f t="shared" si="24"/>
        <v>0</v>
      </c>
      <c r="AD219" s="36"/>
      <c r="AE219" s="36"/>
      <c r="AF219" s="36">
        <v>3740</v>
      </c>
      <c r="AG219" s="37"/>
      <c r="AH219" s="37">
        <f>V219-X219</f>
        <v>0</v>
      </c>
      <c r="AI219" s="37"/>
      <c r="AJ219" s="37"/>
      <c r="AK219" s="24">
        <f>W219-Y219</f>
        <v>0</v>
      </c>
      <c r="AL219" s="35">
        <f>+X219-AF219</f>
        <v>-1780</v>
      </c>
    </row>
    <row r="220" spans="1:243" s="40" customFormat="1" ht="38.25">
      <c r="A220" s="298">
        <v>17</v>
      </c>
      <c r="B220" s="416" t="s">
        <v>120</v>
      </c>
      <c r="C220" s="54" t="s">
        <v>184</v>
      </c>
      <c r="D220" s="26"/>
      <c r="E220" s="26"/>
      <c r="F220" s="75" t="s">
        <v>197</v>
      </c>
      <c r="G220" s="365" t="s">
        <v>349</v>
      </c>
      <c r="H220" s="71">
        <v>105000</v>
      </c>
      <c r="I220" s="71">
        <v>10500</v>
      </c>
      <c r="J220" s="71"/>
      <c r="K220" s="71"/>
      <c r="L220" s="71">
        <v>90000</v>
      </c>
      <c r="M220" s="71"/>
      <c r="N220" s="71"/>
      <c r="O220" s="71"/>
      <c r="P220" s="71"/>
      <c r="Q220" s="71">
        <v>41680</v>
      </c>
      <c r="R220" s="71">
        <v>41680</v>
      </c>
      <c r="S220" s="71"/>
      <c r="T220" s="71"/>
      <c r="U220" s="71">
        <f>H220-M220-Q220</f>
        <v>63320</v>
      </c>
      <c r="V220" s="71">
        <v>10500</v>
      </c>
      <c r="W220" s="71"/>
      <c r="X220" s="71">
        <f>3651-81-985</f>
        <v>2585</v>
      </c>
      <c r="Y220" s="71"/>
      <c r="Z220" s="71"/>
      <c r="AA220" s="13" t="s">
        <v>918</v>
      </c>
      <c r="AB220" s="164">
        <v>2585</v>
      </c>
      <c r="AC220" s="164">
        <f t="shared" si="24"/>
        <v>0</v>
      </c>
      <c r="AD220" s="42"/>
      <c r="AE220" s="42"/>
      <c r="AF220" s="42">
        <v>3535</v>
      </c>
      <c r="AG220" s="13"/>
      <c r="AH220" s="37">
        <f>V220-X220</f>
        <v>7915</v>
      </c>
      <c r="AI220" s="37"/>
      <c r="AJ220" s="37"/>
      <c r="AK220" s="24">
        <f>W220-Y220</f>
        <v>0</v>
      </c>
      <c r="AL220" s="35">
        <f>+X220-AF220</f>
        <v>-950</v>
      </c>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c r="EL220" s="38"/>
      <c r="EM220" s="38"/>
      <c r="EN220" s="38"/>
      <c r="EO220" s="38"/>
      <c r="EP220" s="38"/>
      <c r="EQ220" s="38"/>
      <c r="ER220" s="38"/>
      <c r="ES220" s="38"/>
      <c r="ET220" s="38"/>
      <c r="EU220" s="38"/>
      <c r="EV220" s="38"/>
      <c r="EW220" s="38"/>
      <c r="EX220" s="38"/>
      <c r="EY220" s="38"/>
      <c r="EZ220" s="38"/>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c r="HO220" s="38"/>
      <c r="HP220" s="38"/>
      <c r="HQ220" s="38"/>
      <c r="HR220" s="38"/>
      <c r="HS220" s="38"/>
      <c r="HT220" s="38"/>
      <c r="HU220" s="38"/>
      <c r="HV220" s="38"/>
      <c r="HW220" s="38"/>
      <c r="HX220" s="38"/>
      <c r="HY220" s="38"/>
      <c r="HZ220" s="38"/>
      <c r="IA220" s="31"/>
      <c r="IB220" s="31"/>
      <c r="IC220" s="31"/>
      <c r="ID220" s="31"/>
      <c r="IE220" s="31"/>
      <c r="IF220" s="31"/>
      <c r="IG220" s="31"/>
      <c r="IH220" s="31"/>
      <c r="II220" s="31"/>
    </row>
    <row r="221" spans="1:243" s="40" customFormat="1" ht="48.75" customHeight="1">
      <c r="A221" s="298">
        <v>18</v>
      </c>
      <c r="B221" s="418" t="s">
        <v>717</v>
      </c>
      <c r="C221" s="254" t="s">
        <v>777</v>
      </c>
      <c r="D221" s="25"/>
      <c r="E221" s="227" t="s">
        <v>304</v>
      </c>
      <c r="F221" s="227" t="s">
        <v>778</v>
      </c>
      <c r="G221" s="227" t="s">
        <v>778</v>
      </c>
      <c r="H221" s="71">
        <v>2850</v>
      </c>
      <c r="I221" s="71">
        <v>984.9000000000001</v>
      </c>
      <c r="J221" s="71"/>
      <c r="K221" s="71"/>
      <c r="L221" s="71"/>
      <c r="M221" s="71"/>
      <c r="N221" s="71"/>
      <c r="O221" s="71"/>
      <c r="P221" s="71"/>
      <c r="Q221" s="71"/>
      <c r="R221" s="71"/>
      <c r="S221" s="71"/>
      <c r="T221" s="71"/>
      <c r="U221" s="71">
        <v>2850</v>
      </c>
      <c r="V221" s="71">
        <v>984.9000000000001</v>
      </c>
      <c r="W221" s="71"/>
      <c r="X221" s="71">
        <f>V221</f>
        <v>984.9000000000001</v>
      </c>
      <c r="Y221" s="71"/>
      <c r="Z221" s="71"/>
      <c r="AA221" s="13" t="s">
        <v>546</v>
      </c>
      <c r="AB221" s="164">
        <v>984.9000000000001</v>
      </c>
      <c r="AC221" s="164">
        <f t="shared" si="24"/>
        <v>0</v>
      </c>
      <c r="AD221" s="42">
        <f>X221</f>
        <v>984.9000000000001</v>
      </c>
      <c r="AE221" s="42"/>
      <c r="AF221" s="42"/>
      <c r="AG221" s="13"/>
      <c r="AH221" s="37"/>
      <c r="AI221" s="37"/>
      <c r="AJ221" s="37"/>
      <c r="AK221" s="24"/>
      <c r="AL221" s="35"/>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c r="EL221" s="38"/>
      <c r="EM221" s="38"/>
      <c r="EN221" s="38"/>
      <c r="EO221" s="38"/>
      <c r="EP221" s="38"/>
      <c r="EQ221" s="38"/>
      <c r="ER221" s="38"/>
      <c r="ES221" s="38"/>
      <c r="ET221" s="38"/>
      <c r="EU221" s="38"/>
      <c r="EV221" s="38"/>
      <c r="EW221" s="38"/>
      <c r="EX221" s="38"/>
      <c r="EY221" s="38"/>
      <c r="EZ221" s="38"/>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c r="HO221" s="38"/>
      <c r="HP221" s="38"/>
      <c r="HQ221" s="38"/>
      <c r="HR221" s="38"/>
      <c r="HS221" s="38"/>
      <c r="HT221" s="38"/>
      <c r="HU221" s="38"/>
      <c r="HV221" s="38"/>
      <c r="HW221" s="38"/>
      <c r="HX221" s="38"/>
      <c r="HY221" s="38"/>
      <c r="HZ221" s="38"/>
      <c r="IA221" s="31"/>
      <c r="IB221" s="31"/>
      <c r="IC221" s="31"/>
      <c r="ID221" s="31"/>
      <c r="IE221" s="31"/>
      <c r="IF221" s="31"/>
      <c r="IG221" s="31"/>
      <c r="IH221" s="31"/>
      <c r="II221" s="31"/>
    </row>
    <row r="222" spans="1:38" s="41" customFormat="1" ht="11.25" customHeight="1">
      <c r="A222" s="208"/>
      <c r="B222" s="349"/>
      <c r="C222" s="54"/>
      <c r="D222" s="54"/>
      <c r="E222" s="54"/>
      <c r="F222" s="75"/>
      <c r="G222" s="417" t="s">
        <v>59</v>
      </c>
      <c r="H222" s="72"/>
      <c r="I222" s="72"/>
      <c r="J222" s="72"/>
      <c r="K222" s="72"/>
      <c r="L222" s="72"/>
      <c r="M222" s="72"/>
      <c r="N222" s="72"/>
      <c r="O222" s="72"/>
      <c r="P222" s="72"/>
      <c r="Q222" s="72"/>
      <c r="R222" s="72"/>
      <c r="S222" s="72"/>
      <c r="T222" s="72"/>
      <c r="U222" s="343"/>
      <c r="V222" s="343"/>
      <c r="W222" s="343"/>
      <c r="X222" s="343"/>
      <c r="Y222" s="343"/>
      <c r="Z222" s="343"/>
      <c r="AA222" s="37"/>
      <c r="AB222" s="163"/>
      <c r="AC222" s="314">
        <f t="shared" si="24"/>
        <v>0</v>
      </c>
      <c r="AD222" s="36"/>
      <c r="AE222" s="36"/>
      <c r="AF222" s="36"/>
      <c r="AG222" s="37"/>
      <c r="AH222" s="37">
        <f>V222-X222</f>
        <v>0</v>
      </c>
      <c r="AI222" s="37"/>
      <c r="AJ222" s="37"/>
      <c r="AK222" s="24">
        <f>W222-Y222</f>
        <v>0</v>
      </c>
      <c r="AL222" s="35">
        <f>+X222-AF222</f>
        <v>0</v>
      </c>
    </row>
    <row r="223" spans="1:38" s="273" customFormat="1" ht="27.75" customHeight="1">
      <c r="A223" s="382" t="s">
        <v>48</v>
      </c>
      <c r="B223" s="351" t="s">
        <v>56</v>
      </c>
      <c r="C223" s="54"/>
      <c r="D223" s="361"/>
      <c r="E223" s="361"/>
      <c r="F223" s="75"/>
      <c r="G223" s="361"/>
      <c r="H223" s="275">
        <f aca="true" t="shared" si="36" ref="H223:O223">SUM(H251:H259)</f>
        <v>182300.714</v>
      </c>
      <c r="I223" s="275">
        <f t="shared" si="36"/>
        <v>46419</v>
      </c>
      <c r="J223" s="275">
        <f t="shared" si="36"/>
        <v>0</v>
      </c>
      <c r="K223" s="275">
        <f t="shared" si="36"/>
        <v>0</v>
      </c>
      <c r="L223" s="275">
        <f t="shared" si="36"/>
        <v>0</v>
      </c>
      <c r="M223" s="275">
        <f t="shared" si="36"/>
        <v>124674</v>
      </c>
      <c r="N223" s="275">
        <f t="shared" si="36"/>
        <v>118336</v>
      </c>
      <c r="O223" s="275">
        <f t="shared" si="36"/>
        <v>124638</v>
      </c>
      <c r="P223" s="275">
        <f aca="true" t="shared" si="37" ref="P223:W223">SUM(P251:P261)</f>
        <v>124638</v>
      </c>
      <c r="Q223" s="275">
        <f t="shared" si="37"/>
        <v>32960</v>
      </c>
      <c r="R223" s="275">
        <f t="shared" si="37"/>
        <v>0</v>
      </c>
      <c r="S223" s="275">
        <f t="shared" si="37"/>
        <v>0</v>
      </c>
      <c r="T223" s="275">
        <f t="shared" si="37"/>
        <v>0</v>
      </c>
      <c r="U223" s="275">
        <f t="shared" si="37"/>
        <v>45720</v>
      </c>
      <c r="V223" s="275">
        <f t="shared" si="37"/>
        <v>40084</v>
      </c>
      <c r="W223" s="275">
        <f t="shared" si="37"/>
        <v>23919</v>
      </c>
      <c r="X223" s="275">
        <f>SUM(X224:X261)</f>
        <v>27677.316</v>
      </c>
      <c r="Y223" s="275">
        <f>SUM(Y251:Y261)</f>
        <v>16019</v>
      </c>
      <c r="Z223" s="275"/>
      <c r="AA223" s="33">
        <v>27676.772339344825</v>
      </c>
      <c r="AB223" s="316">
        <v>27677.316</v>
      </c>
      <c r="AC223" s="317">
        <f t="shared" si="24"/>
        <v>0</v>
      </c>
      <c r="AD223" s="32"/>
      <c r="AE223" s="32"/>
      <c r="AF223" s="32">
        <v>24287</v>
      </c>
      <c r="AG223" s="33"/>
      <c r="AH223" s="37">
        <f>V223-X223</f>
        <v>12406.684000000001</v>
      </c>
      <c r="AI223" s="37">
        <f>X223-AH223</f>
        <v>15270.631999999998</v>
      </c>
      <c r="AJ223" s="37"/>
      <c r="AK223" s="24">
        <f>X223-AA223</f>
        <v>0.5436606551738805</v>
      </c>
      <c r="AL223" s="35">
        <f>+X223-AF223</f>
        <v>3390.315999999999</v>
      </c>
    </row>
    <row r="224" spans="1:38" s="273" customFormat="1" ht="38.25">
      <c r="A224" s="298">
        <v>1</v>
      </c>
      <c r="B224" s="390" t="s">
        <v>585</v>
      </c>
      <c r="C224" s="54"/>
      <c r="D224" s="361"/>
      <c r="E224" s="361"/>
      <c r="F224" s="75"/>
      <c r="G224" s="361"/>
      <c r="H224" s="275"/>
      <c r="I224" s="275"/>
      <c r="J224" s="275"/>
      <c r="K224" s="275"/>
      <c r="L224" s="275"/>
      <c r="M224" s="275"/>
      <c r="N224" s="275"/>
      <c r="O224" s="275"/>
      <c r="P224" s="275"/>
      <c r="Q224" s="275"/>
      <c r="R224" s="275"/>
      <c r="S224" s="275"/>
      <c r="T224" s="275"/>
      <c r="U224" s="275"/>
      <c r="V224" s="275"/>
      <c r="W224" s="275"/>
      <c r="X224" s="419">
        <v>139</v>
      </c>
      <c r="Y224" s="419">
        <f>X224</f>
        <v>139</v>
      </c>
      <c r="Z224" s="275"/>
      <c r="AA224" s="37" t="s">
        <v>520</v>
      </c>
      <c r="AB224" s="314">
        <v>139</v>
      </c>
      <c r="AC224" s="314">
        <f t="shared" si="24"/>
        <v>0</v>
      </c>
      <c r="AD224" s="36"/>
      <c r="AE224" s="36"/>
      <c r="AF224" s="32"/>
      <c r="AG224" s="33"/>
      <c r="AH224" s="37"/>
      <c r="AI224" s="37"/>
      <c r="AJ224" s="37"/>
      <c r="AK224" s="24"/>
      <c r="AL224" s="35"/>
    </row>
    <row r="225" spans="1:38" s="273" customFormat="1" ht="38.25">
      <c r="A225" s="298">
        <v>2</v>
      </c>
      <c r="B225" s="420" t="s">
        <v>586</v>
      </c>
      <c r="C225" s="54"/>
      <c r="D225" s="361"/>
      <c r="E225" s="361"/>
      <c r="F225" s="75"/>
      <c r="G225" s="361"/>
      <c r="H225" s="275"/>
      <c r="I225" s="275"/>
      <c r="J225" s="275"/>
      <c r="K225" s="275"/>
      <c r="L225" s="275"/>
      <c r="M225" s="275"/>
      <c r="N225" s="275"/>
      <c r="O225" s="275"/>
      <c r="P225" s="275"/>
      <c r="Q225" s="275"/>
      <c r="R225" s="275"/>
      <c r="S225" s="275"/>
      <c r="T225" s="275"/>
      <c r="U225" s="275"/>
      <c r="V225" s="275"/>
      <c r="W225" s="275"/>
      <c r="X225" s="419">
        <v>2</v>
      </c>
      <c r="Y225" s="419">
        <v>2</v>
      </c>
      <c r="Z225" s="275"/>
      <c r="AA225" s="37" t="s">
        <v>520</v>
      </c>
      <c r="AB225" s="314">
        <v>2</v>
      </c>
      <c r="AC225" s="314">
        <f aca="true" t="shared" si="38" ref="AC225:AC282">+X225-AB225</f>
        <v>0</v>
      </c>
      <c r="AD225" s="36"/>
      <c r="AE225" s="36"/>
      <c r="AF225" s="32"/>
      <c r="AG225" s="33"/>
      <c r="AH225" s="37"/>
      <c r="AI225" s="37"/>
      <c r="AJ225" s="37"/>
      <c r="AK225" s="24"/>
      <c r="AL225" s="35"/>
    </row>
    <row r="226" spans="1:38" s="273" customFormat="1" ht="38.25">
      <c r="A226" s="298">
        <v>3</v>
      </c>
      <c r="B226" s="420" t="s">
        <v>587</v>
      </c>
      <c r="C226" s="54"/>
      <c r="D226" s="361"/>
      <c r="E226" s="361"/>
      <c r="F226" s="75"/>
      <c r="G226" s="361"/>
      <c r="H226" s="275"/>
      <c r="I226" s="275"/>
      <c r="J226" s="275"/>
      <c r="K226" s="275"/>
      <c r="L226" s="275"/>
      <c r="M226" s="275"/>
      <c r="N226" s="275"/>
      <c r="O226" s="275"/>
      <c r="P226" s="275"/>
      <c r="Q226" s="275"/>
      <c r="R226" s="275"/>
      <c r="S226" s="275"/>
      <c r="T226" s="275"/>
      <c r="U226" s="275"/>
      <c r="V226" s="275"/>
      <c r="W226" s="275"/>
      <c r="X226" s="419">
        <v>17</v>
      </c>
      <c r="Y226" s="419">
        <v>17</v>
      </c>
      <c r="Z226" s="275"/>
      <c r="AA226" s="37" t="s">
        <v>520</v>
      </c>
      <c r="AB226" s="314">
        <v>17</v>
      </c>
      <c r="AC226" s="314">
        <f t="shared" si="38"/>
        <v>0</v>
      </c>
      <c r="AD226" s="36"/>
      <c r="AE226" s="36"/>
      <c r="AF226" s="32"/>
      <c r="AG226" s="33"/>
      <c r="AH226" s="37"/>
      <c r="AI226" s="37"/>
      <c r="AJ226" s="37"/>
      <c r="AK226" s="24"/>
      <c r="AL226" s="35"/>
    </row>
    <row r="227" spans="1:38" s="273" customFormat="1" ht="63.75">
      <c r="A227" s="298">
        <v>4</v>
      </c>
      <c r="B227" s="420" t="s">
        <v>589</v>
      </c>
      <c r="C227" s="54"/>
      <c r="D227" s="361"/>
      <c r="E227" s="361"/>
      <c r="F227" s="75"/>
      <c r="G227" s="361"/>
      <c r="H227" s="275"/>
      <c r="I227" s="275"/>
      <c r="J227" s="275"/>
      <c r="K227" s="275"/>
      <c r="L227" s="275"/>
      <c r="M227" s="275"/>
      <c r="N227" s="275"/>
      <c r="O227" s="275"/>
      <c r="P227" s="275"/>
      <c r="Q227" s="275"/>
      <c r="R227" s="275"/>
      <c r="S227" s="275"/>
      <c r="T227" s="275"/>
      <c r="U227" s="275"/>
      <c r="V227" s="275"/>
      <c r="W227" s="275"/>
      <c r="X227" s="419">
        <v>9</v>
      </c>
      <c r="Y227" s="419">
        <v>9</v>
      </c>
      <c r="Z227" s="275"/>
      <c r="AA227" s="37" t="s">
        <v>520</v>
      </c>
      <c r="AB227" s="314">
        <v>9</v>
      </c>
      <c r="AC227" s="314">
        <f t="shared" si="38"/>
        <v>0</v>
      </c>
      <c r="AD227" s="36">
        <f>Y227</f>
        <v>9</v>
      </c>
      <c r="AE227" s="36"/>
      <c r="AF227" s="32"/>
      <c r="AG227" s="33"/>
      <c r="AH227" s="37"/>
      <c r="AI227" s="37"/>
      <c r="AJ227" s="37"/>
      <c r="AK227" s="24"/>
      <c r="AL227" s="35"/>
    </row>
    <row r="228" spans="1:38" s="273" customFormat="1" ht="38.25">
      <c r="A228" s="298">
        <v>5</v>
      </c>
      <c r="B228" s="420" t="s">
        <v>591</v>
      </c>
      <c r="C228" s="54"/>
      <c r="D228" s="361"/>
      <c r="E228" s="361"/>
      <c r="F228" s="75"/>
      <c r="G228" s="361"/>
      <c r="H228" s="421"/>
      <c r="I228" s="275"/>
      <c r="J228" s="275"/>
      <c r="K228" s="275"/>
      <c r="L228" s="275"/>
      <c r="M228" s="275"/>
      <c r="N228" s="275"/>
      <c r="O228" s="275"/>
      <c r="P228" s="275"/>
      <c r="Q228" s="275"/>
      <c r="R228" s="275"/>
      <c r="S228" s="275"/>
      <c r="T228" s="275"/>
      <c r="U228" s="275"/>
      <c r="V228" s="275"/>
      <c r="W228" s="275"/>
      <c r="X228" s="419">
        <v>10</v>
      </c>
      <c r="Y228" s="419">
        <v>10</v>
      </c>
      <c r="Z228" s="275"/>
      <c r="AA228" s="37" t="s">
        <v>520</v>
      </c>
      <c r="AB228" s="314">
        <v>10</v>
      </c>
      <c r="AC228" s="314">
        <f t="shared" si="38"/>
        <v>0</v>
      </c>
      <c r="AD228" s="36"/>
      <c r="AE228" s="36"/>
      <c r="AF228" s="32"/>
      <c r="AG228" s="33"/>
      <c r="AH228" s="37"/>
      <c r="AI228" s="37"/>
      <c r="AJ228" s="37"/>
      <c r="AK228" s="24"/>
      <c r="AL228" s="35"/>
    </row>
    <row r="229" spans="1:38" s="273" customFormat="1" ht="38.25">
      <c r="A229" s="298">
        <v>6</v>
      </c>
      <c r="B229" s="390" t="s">
        <v>626</v>
      </c>
      <c r="C229" s="54"/>
      <c r="D229" s="361"/>
      <c r="E229" s="361"/>
      <c r="F229" s="75"/>
      <c r="G229" s="361"/>
      <c r="H229" s="422"/>
      <c r="I229" s="275"/>
      <c r="J229" s="275"/>
      <c r="K229" s="275"/>
      <c r="L229" s="275"/>
      <c r="M229" s="275"/>
      <c r="N229" s="275"/>
      <c r="O229" s="275"/>
      <c r="P229" s="275"/>
      <c r="Q229" s="275"/>
      <c r="R229" s="275"/>
      <c r="S229" s="275"/>
      <c r="T229" s="275"/>
      <c r="U229" s="275"/>
      <c r="V229" s="275"/>
      <c r="W229" s="275"/>
      <c r="X229" s="423">
        <v>18.43</v>
      </c>
      <c r="Y229" s="423">
        <f>X229</f>
        <v>18.43</v>
      </c>
      <c r="Z229" s="275"/>
      <c r="AA229" s="37" t="s">
        <v>520</v>
      </c>
      <c r="AB229" s="323">
        <v>18.43</v>
      </c>
      <c r="AC229" s="314">
        <f t="shared" si="38"/>
        <v>0</v>
      </c>
      <c r="AD229" s="36"/>
      <c r="AE229" s="36"/>
      <c r="AF229" s="32"/>
      <c r="AG229" s="33"/>
      <c r="AH229" s="37"/>
      <c r="AI229" s="37"/>
      <c r="AJ229" s="37"/>
      <c r="AK229" s="24"/>
      <c r="AL229" s="35"/>
    </row>
    <row r="230" spans="1:38" s="273" customFormat="1" ht="38.25">
      <c r="A230" s="298">
        <v>7</v>
      </c>
      <c r="B230" s="388" t="s">
        <v>592</v>
      </c>
      <c r="C230" s="54"/>
      <c r="D230" s="361"/>
      <c r="E230" s="361"/>
      <c r="F230" s="75"/>
      <c r="G230" s="361"/>
      <c r="H230" s="422"/>
      <c r="I230" s="275"/>
      <c r="J230" s="275"/>
      <c r="K230" s="275"/>
      <c r="L230" s="275"/>
      <c r="M230" s="275"/>
      <c r="N230" s="275"/>
      <c r="O230" s="275"/>
      <c r="P230" s="275"/>
      <c r="Q230" s="275"/>
      <c r="R230" s="275"/>
      <c r="S230" s="275"/>
      <c r="T230" s="275"/>
      <c r="U230" s="275"/>
      <c r="V230" s="275"/>
      <c r="W230" s="275"/>
      <c r="X230" s="423">
        <v>4</v>
      </c>
      <c r="Y230" s="423">
        <v>4</v>
      </c>
      <c r="Z230" s="275"/>
      <c r="AA230" s="37" t="s">
        <v>520</v>
      </c>
      <c r="AB230" s="323">
        <v>4</v>
      </c>
      <c r="AC230" s="314">
        <f t="shared" si="38"/>
        <v>0</v>
      </c>
      <c r="AD230" s="36"/>
      <c r="AE230" s="36"/>
      <c r="AF230" s="32"/>
      <c r="AG230" s="33"/>
      <c r="AH230" s="37"/>
      <c r="AI230" s="37"/>
      <c r="AJ230" s="37"/>
      <c r="AK230" s="24"/>
      <c r="AL230" s="35"/>
    </row>
    <row r="231" spans="1:38" s="273" customFormat="1" ht="38.25">
      <c r="A231" s="298">
        <v>8</v>
      </c>
      <c r="B231" s="390" t="s">
        <v>593</v>
      </c>
      <c r="C231" s="54"/>
      <c r="D231" s="361"/>
      <c r="E231" s="361"/>
      <c r="F231" s="75"/>
      <c r="G231" s="361"/>
      <c r="H231" s="422"/>
      <c r="I231" s="275"/>
      <c r="J231" s="275"/>
      <c r="K231" s="275"/>
      <c r="L231" s="275"/>
      <c r="M231" s="275"/>
      <c r="N231" s="275"/>
      <c r="O231" s="275"/>
      <c r="P231" s="275"/>
      <c r="Q231" s="275"/>
      <c r="R231" s="275"/>
      <c r="S231" s="275"/>
      <c r="T231" s="275"/>
      <c r="U231" s="275"/>
      <c r="V231" s="275"/>
      <c r="W231" s="275"/>
      <c r="X231" s="419">
        <v>315</v>
      </c>
      <c r="Y231" s="419">
        <v>315</v>
      </c>
      <c r="Z231" s="275"/>
      <c r="AA231" s="37" t="s">
        <v>520</v>
      </c>
      <c r="AB231" s="314">
        <v>315</v>
      </c>
      <c r="AC231" s="314">
        <f t="shared" si="38"/>
        <v>0</v>
      </c>
      <c r="AD231" s="36">
        <f>X231</f>
        <v>315</v>
      </c>
      <c r="AE231" s="36"/>
      <c r="AF231" s="32"/>
      <c r="AG231" s="33"/>
      <c r="AH231" s="37"/>
      <c r="AI231" s="37"/>
      <c r="AJ231" s="37"/>
      <c r="AK231" s="24"/>
      <c r="AL231" s="35"/>
    </row>
    <row r="232" spans="1:38" s="273" customFormat="1" ht="38.25">
      <c r="A232" s="298">
        <v>9</v>
      </c>
      <c r="B232" s="390" t="s">
        <v>594</v>
      </c>
      <c r="C232" s="54"/>
      <c r="D232" s="361"/>
      <c r="E232" s="361"/>
      <c r="F232" s="75"/>
      <c r="G232" s="361"/>
      <c r="H232" s="422"/>
      <c r="I232" s="275"/>
      <c r="J232" s="275"/>
      <c r="K232" s="275"/>
      <c r="L232" s="275"/>
      <c r="M232" s="275"/>
      <c r="N232" s="275"/>
      <c r="O232" s="275"/>
      <c r="P232" s="275"/>
      <c r="Q232" s="275"/>
      <c r="R232" s="275"/>
      <c r="S232" s="275"/>
      <c r="T232" s="275"/>
      <c r="U232" s="275"/>
      <c r="V232" s="275"/>
      <c r="W232" s="275"/>
      <c r="X232" s="423">
        <v>9</v>
      </c>
      <c r="Y232" s="423">
        <v>9</v>
      </c>
      <c r="Z232" s="275"/>
      <c r="AA232" s="37" t="s">
        <v>520</v>
      </c>
      <c r="AB232" s="323">
        <v>9</v>
      </c>
      <c r="AC232" s="314">
        <f t="shared" si="38"/>
        <v>0</v>
      </c>
      <c r="AD232" s="36"/>
      <c r="AE232" s="36"/>
      <c r="AF232" s="32"/>
      <c r="AG232" s="33"/>
      <c r="AH232" s="37"/>
      <c r="AI232" s="37"/>
      <c r="AJ232" s="37"/>
      <c r="AK232" s="24"/>
      <c r="AL232" s="35"/>
    </row>
    <row r="233" spans="1:38" s="273" customFormat="1" ht="38.25">
      <c r="A233" s="298">
        <v>10</v>
      </c>
      <c r="B233" s="388" t="s">
        <v>597</v>
      </c>
      <c r="C233" s="54"/>
      <c r="D233" s="361"/>
      <c r="E233" s="361"/>
      <c r="F233" s="75"/>
      <c r="G233" s="361"/>
      <c r="H233" s="422"/>
      <c r="I233" s="275"/>
      <c r="J233" s="275"/>
      <c r="K233" s="275"/>
      <c r="L233" s="275"/>
      <c r="M233" s="275"/>
      <c r="N233" s="275"/>
      <c r="O233" s="275"/>
      <c r="P233" s="275"/>
      <c r="Q233" s="275"/>
      <c r="R233" s="275"/>
      <c r="S233" s="275"/>
      <c r="T233" s="275"/>
      <c r="U233" s="275"/>
      <c r="V233" s="275"/>
      <c r="W233" s="275"/>
      <c r="X233" s="423">
        <v>5</v>
      </c>
      <c r="Y233" s="423">
        <v>5</v>
      </c>
      <c r="Z233" s="275"/>
      <c r="AA233" s="37" t="s">
        <v>520</v>
      </c>
      <c r="AB233" s="323">
        <v>5</v>
      </c>
      <c r="AC233" s="314">
        <f t="shared" si="38"/>
        <v>0</v>
      </c>
      <c r="AD233" s="36"/>
      <c r="AE233" s="36"/>
      <c r="AF233" s="32"/>
      <c r="AG233" s="33"/>
      <c r="AH233" s="37"/>
      <c r="AI233" s="37"/>
      <c r="AJ233" s="37"/>
      <c r="AK233" s="24"/>
      <c r="AL233" s="35"/>
    </row>
    <row r="234" spans="1:38" s="273" customFormat="1" ht="38.25">
      <c r="A234" s="298">
        <v>11</v>
      </c>
      <c r="B234" s="388" t="s">
        <v>598</v>
      </c>
      <c r="C234" s="54"/>
      <c r="D234" s="361"/>
      <c r="E234" s="361"/>
      <c r="F234" s="75"/>
      <c r="G234" s="361"/>
      <c r="H234" s="422"/>
      <c r="I234" s="275"/>
      <c r="J234" s="275"/>
      <c r="K234" s="275"/>
      <c r="L234" s="275"/>
      <c r="M234" s="275"/>
      <c r="N234" s="275"/>
      <c r="O234" s="275"/>
      <c r="P234" s="275"/>
      <c r="Q234" s="275"/>
      <c r="R234" s="275"/>
      <c r="S234" s="275"/>
      <c r="T234" s="275"/>
      <c r="U234" s="275"/>
      <c r="V234" s="275"/>
      <c r="W234" s="275"/>
      <c r="X234" s="423">
        <v>6</v>
      </c>
      <c r="Y234" s="423">
        <v>6</v>
      </c>
      <c r="Z234" s="275"/>
      <c r="AA234" s="37" t="s">
        <v>520</v>
      </c>
      <c r="AB234" s="323">
        <v>6</v>
      </c>
      <c r="AC234" s="314">
        <f t="shared" si="38"/>
        <v>0</v>
      </c>
      <c r="AD234" s="36"/>
      <c r="AE234" s="36"/>
      <c r="AF234" s="32"/>
      <c r="AG234" s="33"/>
      <c r="AH234" s="37"/>
      <c r="AI234" s="37"/>
      <c r="AJ234" s="37"/>
      <c r="AK234" s="24"/>
      <c r="AL234" s="35"/>
    </row>
    <row r="235" spans="1:38" s="273" customFormat="1" ht="38.25">
      <c r="A235" s="298">
        <v>12</v>
      </c>
      <c r="B235" s="390" t="s">
        <v>600</v>
      </c>
      <c r="C235" s="54"/>
      <c r="D235" s="361"/>
      <c r="E235" s="361"/>
      <c r="F235" s="75"/>
      <c r="G235" s="361"/>
      <c r="H235" s="422"/>
      <c r="I235" s="275"/>
      <c r="J235" s="275"/>
      <c r="K235" s="275"/>
      <c r="L235" s="275"/>
      <c r="M235" s="275"/>
      <c r="N235" s="275"/>
      <c r="O235" s="275"/>
      <c r="P235" s="275"/>
      <c r="Q235" s="275"/>
      <c r="R235" s="275"/>
      <c r="S235" s="275"/>
      <c r="T235" s="275"/>
      <c r="U235" s="275"/>
      <c r="V235" s="275"/>
      <c r="W235" s="275"/>
      <c r="X235" s="423">
        <v>2</v>
      </c>
      <c r="Y235" s="423">
        <v>2</v>
      </c>
      <c r="Z235" s="275"/>
      <c r="AA235" s="37" t="s">
        <v>520</v>
      </c>
      <c r="AB235" s="323">
        <v>2</v>
      </c>
      <c r="AC235" s="314">
        <f t="shared" si="38"/>
        <v>0</v>
      </c>
      <c r="AD235" s="36"/>
      <c r="AE235" s="36"/>
      <c r="AF235" s="32"/>
      <c r="AG235" s="33"/>
      <c r="AH235" s="37"/>
      <c r="AI235" s="37"/>
      <c r="AJ235" s="37"/>
      <c r="AK235" s="24"/>
      <c r="AL235" s="35"/>
    </row>
    <row r="236" spans="1:38" s="273" customFormat="1" ht="38.25">
      <c r="A236" s="298">
        <v>13</v>
      </c>
      <c r="B236" s="390" t="s">
        <v>601</v>
      </c>
      <c r="C236" s="54"/>
      <c r="D236" s="361"/>
      <c r="E236" s="361"/>
      <c r="F236" s="75"/>
      <c r="G236" s="361"/>
      <c r="H236" s="422"/>
      <c r="I236" s="275"/>
      <c r="J236" s="275"/>
      <c r="K236" s="275"/>
      <c r="L236" s="275"/>
      <c r="M236" s="275"/>
      <c r="N236" s="275"/>
      <c r="O236" s="275"/>
      <c r="P236" s="275"/>
      <c r="Q236" s="275"/>
      <c r="R236" s="275"/>
      <c r="S236" s="275"/>
      <c r="T236" s="275"/>
      <c r="U236" s="275"/>
      <c r="V236" s="275"/>
      <c r="W236" s="275"/>
      <c r="X236" s="423">
        <v>5.52</v>
      </c>
      <c r="Y236" s="423">
        <f aca="true" t="shared" si="39" ref="Y236:Y243">X236</f>
        <v>5.52</v>
      </c>
      <c r="Z236" s="275"/>
      <c r="AA236" s="37" t="s">
        <v>520</v>
      </c>
      <c r="AB236" s="323">
        <v>5.52</v>
      </c>
      <c r="AC236" s="314">
        <f t="shared" si="38"/>
        <v>0</v>
      </c>
      <c r="AD236" s="36"/>
      <c r="AE236" s="36"/>
      <c r="AF236" s="32"/>
      <c r="AG236" s="33"/>
      <c r="AH236" s="37"/>
      <c r="AI236" s="37"/>
      <c r="AJ236" s="37"/>
      <c r="AK236" s="24"/>
      <c r="AL236" s="35"/>
    </row>
    <row r="237" spans="1:38" s="273" customFormat="1" ht="38.25">
      <c r="A237" s="298">
        <v>14</v>
      </c>
      <c r="B237" s="388" t="s">
        <v>606</v>
      </c>
      <c r="C237" s="54"/>
      <c r="D237" s="361"/>
      <c r="E237" s="361"/>
      <c r="F237" s="75"/>
      <c r="G237" s="361"/>
      <c r="H237" s="422"/>
      <c r="I237" s="275"/>
      <c r="J237" s="275"/>
      <c r="K237" s="275"/>
      <c r="L237" s="275"/>
      <c r="M237" s="275"/>
      <c r="N237" s="275"/>
      <c r="O237" s="275"/>
      <c r="P237" s="275"/>
      <c r="Q237" s="275"/>
      <c r="R237" s="275"/>
      <c r="S237" s="275"/>
      <c r="T237" s="275"/>
      <c r="U237" s="275"/>
      <c r="V237" s="275"/>
      <c r="W237" s="275"/>
      <c r="X237" s="423">
        <v>12.099</v>
      </c>
      <c r="Y237" s="423">
        <f t="shared" si="39"/>
        <v>12.099</v>
      </c>
      <c r="Z237" s="275"/>
      <c r="AA237" s="37" t="s">
        <v>520</v>
      </c>
      <c r="AB237" s="323">
        <v>12.099</v>
      </c>
      <c r="AC237" s="314">
        <f t="shared" si="38"/>
        <v>0</v>
      </c>
      <c r="AD237" s="36"/>
      <c r="AE237" s="36"/>
      <c r="AF237" s="32"/>
      <c r="AG237" s="33"/>
      <c r="AH237" s="37"/>
      <c r="AI237" s="37"/>
      <c r="AJ237" s="37"/>
      <c r="AK237" s="24"/>
      <c r="AL237" s="35"/>
    </row>
    <row r="238" spans="1:38" s="273" customFormat="1" ht="38.25">
      <c r="A238" s="298">
        <v>15</v>
      </c>
      <c r="B238" s="399" t="s">
        <v>611</v>
      </c>
      <c r="C238" s="54"/>
      <c r="D238" s="361"/>
      <c r="E238" s="361"/>
      <c r="F238" s="75"/>
      <c r="G238" s="361"/>
      <c r="H238" s="422"/>
      <c r="I238" s="275"/>
      <c r="J238" s="275"/>
      <c r="K238" s="275"/>
      <c r="L238" s="275"/>
      <c r="M238" s="275"/>
      <c r="N238" s="275"/>
      <c r="O238" s="275"/>
      <c r="P238" s="275"/>
      <c r="Q238" s="275"/>
      <c r="R238" s="275"/>
      <c r="S238" s="275"/>
      <c r="T238" s="275"/>
      <c r="U238" s="275"/>
      <c r="V238" s="275"/>
      <c r="W238" s="275"/>
      <c r="X238" s="423">
        <v>6.3195</v>
      </c>
      <c r="Y238" s="423">
        <f t="shared" si="39"/>
        <v>6.3195</v>
      </c>
      <c r="Z238" s="275"/>
      <c r="AA238" s="37" t="s">
        <v>520</v>
      </c>
      <c r="AB238" s="323">
        <v>6.3195</v>
      </c>
      <c r="AC238" s="314">
        <f t="shared" si="38"/>
        <v>0</v>
      </c>
      <c r="AD238" s="36"/>
      <c r="AE238" s="36"/>
      <c r="AF238" s="32"/>
      <c r="AG238" s="33"/>
      <c r="AH238" s="37"/>
      <c r="AI238" s="37"/>
      <c r="AJ238" s="37"/>
      <c r="AK238" s="24"/>
      <c r="AL238" s="35"/>
    </row>
    <row r="239" spans="1:38" s="273" customFormat="1" ht="38.25">
      <c r="A239" s="298">
        <v>16</v>
      </c>
      <c r="B239" s="388" t="s">
        <v>627</v>
      </c>
      <c r="C239" s="54"/>
      <c r="D239" s="361"/>
      <c r="E239" s="361"/>
      <c r="F239" s="75"/>
      <c r="G239" s="361"/>
      <c r="H239" s="422"/>
      <c r="I239" s="275"/>
      <c r="J239" s="275"/>
      <c r="K239" s="275"/>
      <c r="L239" s="275"/>
      <c r="M239" s="275"/>
      <c r="N239" s="275"/>
      <c r="O239" s="275"/>
      <c r="P239" s="275"/>
      <c r="Q239" s="275"/>
      <c r="R239" s="275"/>
      <c r="S239" s="275"/>
      <c r="T239" s="275"/>
      <c r="U239" s="275"/>
      <c r="V239" s="275"/>
      <c r="W239" s="275"/>
      <c r="X239" s="423">
        <v>12.044</v>
      </c>
      <c r="Y239" s="423">
        <f t="shared" si="39"/>
        <v>12.044</v>
      </c>
      <c r="Z239" s="275"/>
      <c r="AA239" s="37" t="s">
        <v>520</v>
      </c>
      <c r="AB239" s="323">
        <v>12.044</v>
      </c>
      <c r="AC239" s="314">
        <f t="shared" si="38"/>
        <v>0</v>
      </c>
      <c r="AD239" s="36"/>
      <c r="AE239" s="36"/>
      <c r="AF239" s="32"/>
      <c r="AG239" s="33"/>
      <c r="AH239" s="37"/>
      <c r="AI239" s="37"/>
      <c r="AJ239" s="37"/>
      <c r="AK239" s="24"/>
      <c r="AL239" s="35"/>
    </row>
    <row r="240" spans="1:38" s="273" customFormat="1" ht="38.25">
      <c r="A240" s="298">
        <v>17</v>
      </c>
      <c r="B240" s="390" t="s">
        <v>628</v>
      </c>
      <c r="C240" s="54"/>
      <c r="D240" s="361"/>
      <c r="E240" s="361"/>
      <c r="F240" s="75"/>
      <c r="G240" s="361"/>
      <c r="H240" s="422"/>
      <c r="I240" s="275"/>
      <c r="J240" s="275"/>
      <c r="K240" s="275"/>
      <c r="L240" s="275"/>
      <c r="M240" s="275"/>
      <c r="N240" s="275"/>
      <c r="O240" s="275"/>
      <c r="P240" s="275"/>
      <c r="Q240" s="275"/>
      <c r="R240" s="275"/>
      <c r="S240" s="275"/>
      <c r="T240" s="275"/>
      <c r="U240" s="275"/>
      <c r="V240" s="275"/>
      <c r="W240" s="275"/>
      <c r="X240" s="423">
        <v>0.5</v>
      </c>
      <c r="Y240" s="423">
        <f t="shared" si="39"/>
        <v>0.5</v>
      </c>
      <c r="Z240" s="275"/>
      <c r="AA240" s="37" t="s">
        <v>520</v>
      </c>
      <c r="AB240" s="323">
        <v>0.5</v>
      </c>
      <c r="AC240" s="314">
        <f t="shared" si="38"/>
        <v>0</v>
      </c>
      <c r="AD240" s="36"/>
      <c r="AE240" s="36"/>
      <c r="AF240" s="32"/>
      <c r="AG240" s="33"/>
      <c r="AH240" s="37"/>
      <c r="AI240" s="37"/>
      <c r="AJ240" s="37"/>
      <c r="AK240" s="24"/>
      <c r="AL240" s="35"/>
    </row>
    <row r="241" spans="1:38" s="273" customFormat="1" ht="38.25">
      <c r="A241" s="298">
        <v>18</v>
      </c>
      <c r="B241" s="390" t="s">
        <v>629</v>
      </c>
      <c r="C241" s="54"/>
      <c r="D241" s="361"/>
      <c r="E241" s="361"/>
      <c r="F241" s="75"/>
      <c r="G241" s="361"/>
      <c r="H241" s="422"/>
      <c r="I241" s="275"/>
      <c r="J241" s="275"/>
      <c r="K241" s="275"/>
      <c r="L241" s="275"/>
      <c r="M241" s="275"/>
      <c r="N241" s="275"/>
      <c r="O241" s="275"/>
      <c r="P241" s="275"/>
      <c r="Q241" s="275"/>
      <c r="R241" s="275"/>
      <c r="S241" s="275"/>
      <c r="T241" s="275"/>
      <c r="U241" s="275"/>
      <c r="V241" s="275"/>
      <c r="W241" s="275"/>
      <c r="X241" s="423">
        <v>2.44</v>
      </c>
      <c r="Y241" s="423">
        <f t="shared" si="39"/>
        <v>2.44</v>
      </c>
      <c r="Z241" s="275"/>
      <c r="AA241" s="37" t="s">
        <v>520</v>
      </c>
      <c r="AB241" s="323">
        <v>2.44</v>
      </c>
      <c r="AC241" s="314">
        <f t="shared" si="38"/>
        <v>0</v>
      </c>
      <c r="AD241" s="36"/>
      <c r="AE241" s="36"/>
      <c r="AF241" s="32"/>
      <c r="AG241" s="33"/>
      <c r="AH241" s="37"/>
      <c r="AI241" s="37"/>
      <c r="AJ241" s="37"/>
      <c r="AK241" s="24"/>
      <c r="AL241" s="35"/>
    </row>
    <row r="242" spans="1:38" s="273" customFormat="1" ht="38.25">
      <c r="A242" s="298">
        <v>19</v>
      </c>
      <c r="B242" s="388" t="s">
        <v>630</v>
      </c>
      <c r="C242" s="54"/>
      <c r="D242" s="361"/>
      <c r="E242" s="361"/>
      <c r="F242" s="75"/>
      <c r="G242" s="361"/>
      <c r="H242" s="422"/>
      <c r="I242" s="275"/>
      <c r="J242" s="275"/>
      <c r="K242" s="275"/>
      <c r="L242" s="275"/>
      <c r="M242" s="275"/>
      <c r="N242" s="275"/>
      <c r="O242" s="275"/>
      <c r="P242" s="275"/>
      <c r="Q242" s="275"/>
      <c r="R242" s="275"/>
      <c r="S242" s="275"/>
      <c r="T242" s="275"/>
      <c r="U242" s="275"/>
      <c r="V242" s="275"/>
      <c r="W242" s="275"/>
      <c r="X242" s="423">
        <v>6.118</v>
      </c>
      <c r="Y242" s="423">
        <f t="shared" si="39"/>
        <v>6.118</v>
      </c>
      <c r="Z242" s="275"/>
      <c r="AA242" s="37" t="s">
        <v>520</v>
      </c>
      <c r="AB242" s="323">
        <v>6.118</v>
      </c>
      <c r="AC242" s="314">
        <f t="shared" si="38"/>
        <v>0</v>
      </c>
      <c r="AD242" s="36"/>
      <c r="AE242" s="36"/>
      <c r="AF242" s="32"/>
      <c r="AG242" s="33"/>
      <c r="AH242" s="37"/>
      <c r="AI242" s="37"/>
      <c r="AJ242" s="37"/>
      <c r="AK242" s="24"/>
      <c r="AL242" s="35"/>
    </row>
    <row r="243" spans="1:38" s="273" customFormat="1" ht="38.25">
      <c r="A243" s="298">
        <v>20</v>
      </c>
      <c r="B243" s="390" t="s">
        <v>631</v>
      </c>
      <c r="C243" s="54"/>
      <c r="D243" s="361"/>
      <c r="E243" s="361"/>
      <c r="F243" s="75"/>
      <c r="G243" s="361"/>
      <c r="H243" s="422"/>
      <c r="I243" s="275"/>
      <c r="J243" s="275"/>
      <c r="K243" s="275"/>
      <c r="L243" s="275"/>
      <c r="M243" s="275"/>
      <c r="N243" s="275"/>
      <c r="O243" s="275"/>
      <c r="P243" s="275"/>
      <c r="Q243" s="275"/>
      <c r="R243" s="275"/>
      <c r="S243" s="275"/>
      <c r="T243" s="275"/>
      <c r="U243" s="275"/>
      <c r="V243" s="275"/>
      <c r="W243" s="275"/>
      <c r="X243" s="423">
        <v>6.232</v>
      </c>
      <c r="Y243" s="423">
        <f t="shared" si="39"/>
        <v>6.232</v>
      </c>
      <c r="Z243" s="275"/>
      <c r="AA243" s="37" t="s">
        <v>520</v>
      </c>
      <c r="AB243" s="323">
        <v>6.232</v>
      </c>
      <c r="AC243" s="314">
        <f t="shared" si="38"/>
        <v>0</v>
      </c>
      <c r="AD243" s="36"/>
      <c r="AE243" s="36"/>
      <c r="AF243" s="32"/>
      <c r="AG243" s="33"/>
      <c r="AH243" s="37"/>
      <c r="AI243" s="37"/>
      <c r="AJ243" s="37"/>
      <c r="AK243" s="24"/>
      <c r="AL243" s="35"/>
    </row>
    <row r="244" spans="1:38" s="273" customFormat="1" ht="38.25">
      <c r="A244" s="298">
        <v>21</v>
      </c>
      <c r="B244" s="390" t="s">
        <v>632</v>
      </c>
      <c r="C244" s="54"/>
      <c r="D244" s="361"/>
      <c r="E244" s="361"/>
      <c r="F244" s="75"/>
      <c r="G244" s="361"/>
      <c r="H244" s="422"/>
      <c r="I244" s="275"/>
      <c r="J244" s="275"/>
      <c r="K244" s="275"/>
      <c r="L244" s="275"/>
      <c r="M244" s="275"/>
      <c r="N244" s="275"/>
      <c r="O244" s="275"/>
      <c r="P244" s="275"/>
      <c r="Q244" s="275"/>
      <c r="R244" s="275"/>
      <c r="S244" s="275"/>
      <c r="T244" s="275"/>
      <c r="U244" s="275"/>
      <c r="V244" s="275"/>
      <c r="W244" s="275"/>
      <c r="X244" s="423">
        <v>37.5755</v>
      </c>
      <c r="Y244" s="423">
        <f>X244</f>
        <v>37.5755</v>
      </c>
      <c r="Z244" s="275"/>
      <c r="AA244" s="37" t="s">
        <v>520</v>
      </c>
      <c r="AB244" s="323">
        <v>37.5755</v>
      </c>
      <c r="AC244" s="314">
        <f t="shared" si="38"/>
        <v>0</v>
      </c>
      <c r="AD244" s="36"/>
      <c r="AE244" s="36"/>
      <c r="AF244" s="32"/>
      <c r="AG244" s="33"/>
      <c r="AH244" s="37"/>
      <c r="AI244" s="37"/>
      <c r="AJ244" s="37"/>
      <c r="AK244" s="24"/>
      <c r="AL244" s="35"/>
    </row>
    <row r="245" spans="1:38" s="273" customFormat="1" ht="55.5" customHeight="1">
      <c r="A245" s="298">
        <v>22</v>
      </c>
      <c r="B245" s="424" t="s">
        <v>901</v>
      </c>
      <c r="C245" s="54"/>
      <c r="D245" s="361"/>
      <c r="E245" s="361"/>
      <c r="F245" s="75"/>
      <c r="G245" s="361"/>
      <c r="H245" s="422"/>
      <c r="I245" s="275"/>
      <c r="J245" s="275"/>
      <c r="K245" s="275"/>
      <c r="L245" s="275"/>
      <c r="M245" s="275"/>
      <c r="N245" s="275"/>
      <c r="O245" s="275"/>
      <c r="P245" s="275"/>
      <c r="Q245" s="275"/>
      <c r="R245" s="275"/>
      <c r="S245" s="275"/>
      <c r="T245" s="275"/>
      <c r="U245" s="275"/>
      <c r="V245" s="275"/>
      <c r="W245" s="275"/>
      <c r="X245" s="423">
        <v>721.64</v>
      </c>
      <c r="Y245" s="423">
        <f>X245</f>
        <v>721.64</v>
      </c>
      <c r="Z245" s="275"/>
      <c r="AA245" s="37" t="s">
        <v>520</v>
      </c>
      <c r="AB245" s="323">
        <v>721.64</v>
      </c>
      <c r="AC245" s="314">
        <f t="shared" si="38"/>
        <v>0</v>
      </c>
      <c r="AD245" s="36"/>
      <c r="AE245" s="36"/>
      <c r="AF245" s="32"/>
      <c r="AG245" s="33"/>
      <c r="AH245" s="37"/>
      <c r="AI245" s="37"/>
      <c r="AJ245" s="37"/>
      <c r="AK245" s="24"/>
      <c r="AL245" s="35"/>
    </row>
    <row r="246" spans="1:243" s="40" customFormat="1" ht="51">
      <c r="A246" s="298">
        <v>23</v>
      </c>
      <c r="B246" s="77" t="s">
        <v>890</v>
      </c>
      <c r="C246" s="54"/>
      <c r="D246" s="26"/>
      <c r="E246" s="26"/>
      <c r="F246" s="75"/>
      <c r="G246" s="12" t="s">
        <v>899</v>
      </c>
      <c r="H246" s="425">
        <v>12678.993</v>
      </c>
      <c r="I246" s="425">
        <v>12678.993</v>
      </c>
      <c r="J246" s="425"/>
      <c r="K246" s="425"/>
      <c r="L246" s="425"/>
      <c r="M246" s="425"/>
      <c r="N246" s="425"/>
      <c r="O246" s="425">
        <v>11673.506000000001</v>
      </c>
      <c r="P246" s="425"/>
      <c r="Q246" s="425"/>
      <c r="R246" s="425"/>
      <c r="S246" s="425"/>
      <c r="T246" s="425"/>
      <c r="U246" s="423">
        <v>477.828</v>
      </c>
      <c r="V246" s="423">
        <v>477.828</v>
      </c>
      <c r="W246" s="425"/>
      <c r="X246" s="423">
        <v>477.828</v>
      </c>
      <c r="Y246" s="423">
        <f>X246</f>
        <v>477.828</v>
      </c>
      <c r="Z246" s="275"/>
      <c r="AA246" s="37" t="s">
        <v>520</v>
      </c>
      <c r="AB246" s="323">
        <v>477.828</v>
      </c>
      <c r="AC246" s="314">
        <f t="shared" si="38"/>
        <v>0</v>
      </c>
      <c r="AD246" s="36">
        <f>X246</f>
        <v>477.828</v>
      </c>
      <c r="AE246" s="36"/>
      <c r="AF246" s="42"/>
      <c r="AG246" s="13"/>
      <c r="AH246" s="37"/>
      <c r="AI246" s="37"/>
      <c r="AJ246" s="37"/>
      <c r="AK246" s="24"/>
      <c r="AL246" s="38"/>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row>
    <row r="247" spans="1:243" s="40" customFormat="1" ht="51">
      <c r="A247" s="298">
        <v>24</v>
      </c>
      <c r="B247" s="426" t="s">
        <v>795</v>
      </c>
      <c r="C247" s="54" t="s">
        <v>12</v>
      </c>
      <c r="D247" s="26"/>
      <c r="E247" s="26"/>
      <c r="F247" s="427" t="s">
        <v>796</v>
      </c>
      <c r="G247" s="428" t="s">
        <v>797</v>
      </c>
      <c r="H247" s="429">
        <v>2838</v>
      </c>
      <c r="I247" s="425"/>
      <c r="J247" s="425"/>
      <c r="K247" s="425"/>
      <c r="L247" s="425"/>
      <c r="M247" s="425"/>
      <c r="N247" s="425"/>
      <c r="O247" s="425"/>
      <c r="P247" s="425"/>
      <c r="Q247" s="425"/>
      <c r="R247" s="425"/>
      <c r="S247" s="425"/>
      <c r="T247" s="425"/>
      <c r="U247" s="425">
        <v>3.18499999999995</v>
      </c>
      <c r="V247" s="425">
        <f>U247</f>
        <v>3.18499999999995</v>
      </c>
      <c r="W247" s="425"/>
      <c r="X247" s="425">
        <v>3.18499999999995</v>
      </c>
      <c r="Y247" s="425">
        <f>X247</f>
        <v>3.18499999999995</v>
      </c>
      <c r="Z247" s="71"/>
      <c r="AA247" s="37" t="s">
        <v>520</v>
      </c>
      <c r="AB247" s="318">
        <v>3.18499999999995</v>
      </c>
      <c r="AC247" s="318">
        <f t="shared" si="38"/>
        <v>0</v>
      </c>
      <c r="AD247" s="36">
        <f>X247</f>
        <v>3.18499999999995</v>
      </c>
      <c r="AE247" s="36"/>
      <c r="AF247" s="42"/>
      <c r="AG247" s="13"/>
      <c r="AH247" s="37"/>
      <c r="AI247" s="37"/>
      <c r="AJ247" s="37"/>
      <c r="AK247" s="24"/>
      <c r="AL247" s="35"/>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row>
    <row r="248" spans="1:243" s="40" customFormat="1" ht="51">
      <c r="A248" s="298">
        <v>25</v>
      </c>
      <c r="B248" s="77" t="s">
        <v>889</v>
      </c>
      <c r="C248" s="54"/>
      <c r="D248" s="26"/>
      <c r="E248" s="26"/>
      <c r="F248" s="75"/>
      <c r="G248" s="12" t="s">
        <v>898</v>
      </c>
      <c r="H248" s="425">
        <v>5858</v>
      </c>
      <c r="I248" s="425">
        <v>5858</v>
      </c>
      <c r="J248" s="425"/>
      <c r="K248" s="425"/>
      <c r="L248" s="425"/>
      <c r="M248" s="425"/>
      <c r="N248" s="425"/>
      <c r="O248" s="425">
        <v>5269.212</v>
      </c>
      <c r="P248" s="425"/>
      <c r="Q248" s="425"/>
      <c r="R248" s="425"/>
      <c r="S248" s="425"/>
      <c r="T248" s="425"/>
      <c r="U248" s="430">
        <v>31.8</v>
      </c>
      <c r="V248" s="425">
        <v>31.8</v>
      </c>
      <c r="W248" s="425"/>
      <c r="X248" s="430">
        <f>V248</f>
        <v>31.8</v>
      </c>
      <c r="Y248" s="425">
        <f>X248</f>
        <v>31.8</v>
      </c>
      <c r="Z248" s="71"/>
      <c r="AA248" s="37" t="s">
        <v>520</v>
      </c>
      <c r="AB248" s="324">
        <v>31.8</v>
      </c>
      <c r="AC248" s="324">
        <f t="shared" si="38"/>
        <v>0</v>
      </c>
      <c r="AD248" s="36">
        <f>X248</f>
        <v>31.8</v>
      </c>
      <c r="AE248" s="36"/>
      <c r="AF248" s="42"/>
      <c r="AG248" s="13"/>
      <c r="AH248" s="37"/>
      <c r="AI248" s="37"/>
      <c r="AJ248" s="37"/>
      <c r="AK248" s="24"/>
      <c r="AL248" s="38"/>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row>
    <row r="249" spans="1:38" s="41" customFormat="1" ht="51">
      <c r="A249" s="298">
        <v>26</v>
      </c>
      <c r="B249" s="368" t="s">
        <v>402</v>
      </c>
      <c r="C249" s="26" t="s">
        <v>12</v>
      </c>
      <c r="D249" s="54"/>
      <c r="E249" s="54"/>
      <c r="F249" s="369" t="s">
        <v>21</v>
      </c>
      <c r="G249" s="431" t="s">
        <v>403</v>
      </c>
      <c r="H249" s="431">
        <v>2600</v>
      </c>
      <c r="I249" s="371">
        <v>390</v>
      </c>
      <c r="J249" s="72"/>
      <c r="K249" s="72"/>
      <c r="L249" s="72"/>
      <c r="M249" s="72"/>
      <c r="N249" s="72"/>
      <c r="O249" s="372">
        <v>1970</v>
      </c>
      <c r="P249" s="72"/>
      <c r="Q249" s="371"/>
      <c r="R249" s="371"/>
      <c r="S249" s="371"/>
      <c r="T249" s="72"/>
      <c r="U249" s="423">
        <v>347.585</v>
      </c>
      <c r="V249" s="423">
        <v>347.585</v>
      </c>
      <c r="W249" s="423">
        <v>347.585</v>
      </c>
      <c r="X249" s="423">
        <v>347.585</v>
      </c>
      <c r="Y249" s="423">
        <v>347.585</v>
      </c>
      <c r="Z249" s="343"/>
      <c r="AA249" s="37" t="s">
        <v>404</v>
      </c>
      <c r="AB249" s="323">
        <v>347.585</v>
      </c>
      <c r="AC249" s="314">
        <f t="shared" si="38"/>
        <v>0</v>
      </c>
      <c r="AD249" s="36">
        <f>X249</f>
        <v>347.585</v>
      </c>
      <c r="AE249" s="36"/>
      <c r="AF249" s="36">
        <v>348</v>
      </c>
      <c r="AG249" s="37"/>
      <c r="AH249" s="37">
        <v>0</v>
      </c>
      <c r="AI249" s="37"/>
      <c r="AJ249" s="37"/>
      <c r="AK249" s="24">
        <v>0</v>
      </c>
      <c r="AL249" s="35">
        <v>0</v>
      </c>
    </row>
    <row r="250" spans="1:38" s="41" customFormat="1" ht="38.25">
      <c r="A250" s="298">
        <v>27</v>
      </c>
      <c r="B250" s="295" t="s">
        <v>981</v>
      </c>
      <c r="C250" s="26"/>
      <c r="D250" s="54"/>
      <c r="E250" s="54"/>
      <c r="F250" s="75"/>
      <c r="G250" s="298"/>
      <c r="H250" s="299"/>
      <c r="I250" s="72"/>
      <c r="J250" s="72"/>
      <c r="K250" s="72"/>
      <c r="L250" s="72"/>
      <c r="M250" s="72"/>
      <c r="N250" s="72"/>
      <c r="O250" s="72"/>
      <c r="P250" s="72"/>
      <c r="Q250" s="350"/>
      <c r="R250" s="371"/>
      <c r="S250" s="72"/>
      <c r="T250" s="299"/>
      <c r="U250" s="343">
        <v>4000</v>
      </c>
      <c r="V250" s="343">
        <v>4000</v>
      </c>
      <c r="W250" s="343"/>
      <c r="X250" s="343">
        <v>1000</v>
      </c>
      <c r="Y250" s="343"/>
      <c r="Z250" s="343"/>
      <c r="AA250" s="37" t="s">
        <v>982</v>
      </c>
      <c r="AB250" s="163"/>
      <c r="AC250" s="314"/>
      <c r="AD250" s="36"/>
      <c r="AE250" s="36"/>
      <c r="AF250" s="36"/>
      <c r="AG250" s="37"/>
      <c r="AH250" s="37"/>
      <c r="AI250" s="37"/>
      <c r="AJ250" s="37"/>
      <c r="AK250" s="24"/>
      <c r="AL250" s="35"/>
    </row>
    <row r="251" spans="1:38" s="41" customFormat="1" ht="51.75" customHeight="1">
      <c r="A251" s="298">
        <v>28</v>
      </c>
      <c r="B251" s="295" t="s">
        <v>62</v>
      </c>
      <c r="C251" s="26" t="s">
        <v>12</v>
      </c>
      <c r="D251" s="54"/>
      <c r="E251" s="54"/>
      <c r="F251" s="75"/>
      <c r="G251" s="75" t="s">
        <v>63</v>
      </c>
      <c r="H251" s="393">
        <v>112516</v>
      </c>
      <c r="I251" s="371">
        <f>2390+8000</f>
        <v>10390</v>
      </c>
      <c r="J251" s="72"/>
      <c r="K251" s="72"/>
      <c r="L251" s="72"/>
      <c r="M251" s="299">
        <v>108000</v>
      </c>
      <c r="N251" s="371">
        <f>M251</f>
        <v>108000</v>
      </c>
      <c r="O251" s="299">
        <v>108000</v>
      </c>
      <c r="P251" s="371">
        <f>O251</f>
        <v>108000</v>
      </c>
      <c r="Q251" s="350">
        <f>H251-O251</f>
        <v>4516</v>
      </c>
      <c r="R251" s="72"/>
      <c r="S251" s="72"/>
      <c r="T251" s="72"/>
      <c r="U251" s="343">
        <f>2390+8000</f>
        <v>10390</v>
      </c>
      <c r="V251" s="343">
        <f>U251</f>
        <v>10390</v>
      </c>
      <c r="W251" s="343">
        <f>V251</f>
        <v>10390</v>
      </c>
      <c r="X251" s="343">
        <v>5000</v>
      </c>
      <c r="Y251" s="343">
        <f>X251</f>
        <v>5000</v>
      </c>
      <c r="Z251" s="343"/>
      <c r="AA251" s="37" t="s">
        <v>949</v>
      </c>
      <c r="AB251" s="163">
        <v>2390</v>
      </c>
      <c r="AC251" s="314">
        <f t="shared" si="38"/>
        <v>2610</v>
      </c>
      <c r="AD251" s="36"/>
      <c r="AE251" s="36"/>
      <c r="AF251" s="36">
        <v>2390</v>
      </c>
      <c r="AG251" s="37"/>
      <c r="AH251" s="37">
        <f aca="true" t="shared" si="40" ref="AH251:AH260">V251-X251</f>
        <v>5390</v>
      </c>
      <c r="AI251" s="37"/>
      <c r="AJ251" s="37"/>
      <c r="AK251" s="24">
        <f aca="true" t="shared" si="41" ref="AK251:AK259">W251-Y251</f>
        <v>5390</v>
      </c>
      <c r="AL251" s="35">
        <f aca="true" t="shared" si="42" ref="AL251:AL259">+X251-AF251</f>
        <v>2610</v>
      </c>
    </row>
    <row r="252" spans="1:38" s="263" customFormat="1" ht="55.5" customHeight="1">
      <c r="A252" s="298">
        <v>29</v>
      </c>
      <c r="B252" s="432" t="s">
        <v>101</v>
      </c>
      <c r="C252" s="26" t="s">
        <v>12</v>
      </c>
      <c r="D252" s="54"/>
      <c r="E252" s="54"/>
      <c r="F252" s="75"/>
      <c r="G252" s="433" t="s">
        <v>102</v>
      </c>
      <c r="H252" s="434">
        <v>6037</v>
      </c>
      <c r="I252" s="299">
        <v>2239</v>
      </c>
      <c r="J252" s="72"/>
      <c r="K252" s="72"/>
      <c r="L252" s="72"/>
      <c r="M252" s="299">
        <v>2239</v>
      </c>
      <c r="N252" s="299">
        <v>2239</v>
      </c>
      <c r="O252" s="299">
        <v>2239</v>
      </c>
      <c r="P252" s="299">
        <v>2239</v>
      </c>
      <c r="Q252" s="299">
        <v>2000</v>
      </c>
      <c r="R252" s="371"/>
      <c r="S252" s="72"/>
      <c r="T252" s="299"/>
      <c r="U252" s="343">
        <v>1610</v>
      </c>
      <c r="V252" s="343">
        <v>1610</v>
      </c>
      <c r="W252" s="343">
        <v>1610</v>
      </c>
      <c r="X252" s="343">
        <v>1600</v>
      </c>
      <c r="Y252" s="343">
        <f>X252</f>
        <v>1600</v>
      </c>
      <c r="Z252" s="343"/>
      <c r="AA252" s="37" t="s">
        <v>364</v>
      </c>
      <c r="AB252" s="163">
        <v>1610</v>
      </c>
      <c r="AC252" s="314">
        <f t="shared" si="38"/>
        <v>-10</v>
      </c>
      <c r="AD252" s="36"/>
      <c r="AE252" s="36"/>
      <c r="AF252" s="36">
        <v>1610</v>
      </c>
      <c r="AG252" s="37"/>
      <c r="AH252" s="37">
        <f t="shared" si="40"/>
        <v>10</v>
      </c>
      <c r="AI252" s="37"/>
      <c r="AJ252" s="37"/>
      <c r="AK252" s="24">
        <f t="shared" si="41"/>
        <v>10</v>
      </c>
      <c r="AL252" s="35">
        <f t="shared" si="42"/>
        <v>-10</v>
      </c>
    </row>
    <row r="253" spans="1:38" s="263" customFormat="1" ht="79.5" customHeight="1">
      <c r="A253" s="298">
        <v>30</v>
      </c>
      <c r="B253" s="432" t="s">
        <v>103</v>
      </c>
      <c r="C253" s="26" t="s">
        <v>12</v>
      </c>
      <c r="D253" s="54"/>
      <c r="E253" s="54"/>
      <c r="F253" s="75"/>
      <c r="G253" s="433" t="s">
        <v>104</v>
      </c>
      <c r="H253" s="434">
        <v>7459.714</v>
      </c>
      <c r="I253" s="72">
        <v>3697</v>
      </c>
      <c r="J253" s="72"/>
      <c r="K253" s="72"/>
      <c r="L253" s="72"/>
      <c r="M253" s="72">
        <v>3697</v>
      </c>
      <c r="N253" s="72">
        <v>3697</v>
      </c>
      <c r="O253" s="72">
        <v>3697</v>
      </c>
      <c r="P253" s="72">
        <v>3697</v>
      </c>
      <c r="Q253" s="299">
        <v>3500</v>
      </c>
      <c r="R253" s="371"/>
      <c r="S253" s="72"/>
      <c r="T253" s="299"/>
      <c r="U253" s="343">
        <v>670</v>
      </c>
      <c r="V253" s="343">
        <v>670</v>
      </c>
      <c r="W253" s="343">
        <v>670</v>
      </c>
      <c r="X253" s="343">
        <v>670</v>
      </c>
      <c r="Y253" s="343">
        <f>X253</f>
        <v>670</v>
      </c>
      <c r="Z253" s="343">
        <f>X253</f>
        <v>670</v>
      </c>
      <c r="AA253" s="37" t="s">
        <v>950</v>
      </c>
      <c r="AB253" s="163">
        <v>670</v>
      </c>
      <c r="AC253" s="314">
        <f t="shared" si="38"/>
        <v>0</v>
      </c>
      <c r="AD253" s="36">
        <f>X253</f>
        <v>670</v>
      </c>
      <c r="AE253" s="36"/>
      <c r="AF253" s="36">
        <v>670</v>
      </c>
      <c r="AG253" s="37"/>
      <c r="AH253" s="37">
        <f t="shared" si="40"/>
        <v>0</v>
      </c>
      <c r="AI253" s="37"/>
      <c r="AJ253" s="37"/>
      <c r="AK253" s="24">
        <f t="shared" si="41"/>
        <v>0</v>
      </c>
      <c r="AL253" s="35">
        <f t="shared" si="42"/>
        <v>0</v>
      </c>
    </row>
    <row r="254" spans="1:44" s="169" customFormat="1" ht="38.25">
      <c r="A254" s="298">
        <v>31</v>
      </c>
      <c r="B254" s="354" t="s">
        <v>286</v>
      </c>
      <c r="C254" s="54" t="s">
        <v>12</v>
      </c>
      <c r="D254" s="43"/>
      <c r="E254" s="43"/>
      <c r="F254" s="75" t="s">
        <v>287</v>
      </c>
      <c r="G254" s="435" t="s">
        <v>288</v>
      </c>
      <c r="H254" s="72">
        <v>5328</v>
      </c>
      <c r="I254" s="301">
        <v>4400</v>
      </c>
      <c r="J254" s="257"/>
      <c r="K254" s="301"/>
      <c r="L254" s="301"/>
      <c r="M254" s="301">
        <v>4400</v>
      </c>
      <c r="N254" s="301">
        <v>4400</v>
      </c>
      <c r="O254" s="301">
        <v>4364</v>
      </c>
      <c r="P254" s="301">
        <v>4364</v>
      </c>
      <c r="Q254" s="301"/>
      <c r="R254" s="301"/>
      <c r="S254" s="257"/>
      <c r="T254" s="257"/>
      <c r="U254" s="301">
        <v>600</v>
      </c>
      <c r="V254" s="343">
        <f aca="true" t="shared" si="43" ref="V254:X255">U254</f>
        <v>600</v>
      </c>
      <c r="W254" s="301">
        <f t="shared" si="43"/>
        <v>600</v>
      </c>
      <c r="X254" s="301">
        <f t="shared" si="43"/>
        <v>600</v>
      </c>
      <c r="Y254" s="301">
        <f>X254</f>
        <v>600</v>
      </c>
      <c r="Z254" s="301"/>
      <c r="AA254" s="37" t="s">
        <v>364</v>
      </c>
      <c r="AB254" s="164">
        <v>600</v>
      </c>
      <c r="AC254" s="164">
        <f t="shared" si="38"/>
        <v>0</v>
      </c>
      <c r="AD254" s="36">
        <f>X254</f>
        <v>600</v>
      </c>
      <c r="AE254" s="36"/>
      <c r="AF254" s="36">
        <v>600</v>
      </c>
      <c r="AG254" s="37"/>
      <c r="AH254" s="37">
        <f t="shared" si="40"/>
        <v>0</v>
      </c>
      <c r="AI254" s="37"/>
      <c r="AJ254" s="37"/>
      <c r="AK254" s="24">
        <f t="shared" si="41"/>
        <v>0</v>
      </c>
      <c r="AL254" s="35">
        <f t="shared" si="42"/>
        <v>0</v>
      </c>
      <c r="AM254" s="167"/>
      <c r="AN254" s="168"/>
      <c r="AO254" s="168"/>
      <c r="AQ254" s="170"/>
      <c r="AR254" s="170"/>
    </row>
    <row r="255" spans="1:38" s="41" customFormat="1" ht="39.75" customHeight="1">
      <c r="A255" s="298">
        <v>32</v>
      </c>
      <c r="B255" s="346" t="s">
        <v>253</v>
      </c>
      <c r="C255" s="26" t="s">
        <v>12</v>
      </c>
      <c r="D255" s="54"/>
      <c r="E255" s="54"/>
      <c r="F255" s="75"/>
      <c r="G255" s="356" t="s">
        <v>254</v>
      </c>
      <c r="H255" s="72">
        <v>12000</v>
      </c>
      <c r="I255" s="72">
        <f>H255</f>
        <v>12000</v>
      </c>
      <c r="J255" s="72"/>
      <c r="K255" s="72"/>
      <c r="L255" s="72"/>
      <c r="M255" s="436">
        <v>6338</v>
      </c>
      <c r="N255" s="72"/>
      <c r="O255" s="436">
        <v>6338</v>
      </c>
      <c r="P255" s="371">
        <f>O255</f>
        <v>6338</v>
      </c>
      <c r="Q255" s="350">
        <v>1513</v>
      </c>
      <c r="R255" s="72"/>
      <c r="S255" s="72"/>
      <c r="T255" s="72"/>
      <c r="U255" s="343">
        <f>5662-Q255</f>
        <v>4149</v>
      </c>
      <c r="V255" s="343">
        <f t="shared" si="43"/>
        <v>4149</v>
      </c>
      <c r="W255" s="343">
        <f t="shared" si="43"/>
        <v>4149</v>
      </c>
      <c r="X255" s="343">
        <f t="shared" si="43"/>
        <v>4149</v>
      </c>
      <c r="Y255" s="343">
        <f>X255</f>
        <v>4149</v>
      </c>
      <c r="Z255" s="343"/>
      <c r="AA255" s="37" t="s">
        <v>365</v>
      </c>
      <c r="AB255" s="163">
        <v>4149</v>
      </c>
      <c r="AC255" s="314">
        <f t="shared" si="38"/>
        <v>0</v>
      </c>
      <c r="AD255" s="36"/>
      <c r="AE255" s="36"/>
      <c r="AF255" s="36">
        <v>4000</v>
      </c>
      <c r="AG255" s="37"/>
      <c r="AH255" s="37">
        <f t="shared" si="40"/>
        <v>0</v>
      </c>
      <c r="AI255" s="37"/>
      <c r="AJ255" s="37"/>
      <c r="AK255" s="24">
        <f t="shared" si="41"/>
        <v>0</v>
      </c>
      <c r="AL255" s="35">
        <f t="shared" si="42"/>
        <v>149</v>
      </c>
    </row>
    <row r="256" spans="1:38" s="41" customFormat="1" ht="50.25" customHeight="1">
      <c r="A256" s="298">
        <v>33</v>
      </c>
      <c r="B256" s="348" t="s">
        <v>269</v>
      </c>
      <c r="C256" s="26" t="s">
        <v>12</v>
      </c>
      <c r="D256" s="54"/>
      <c r="E256" s="54"/>
      <c r="F256" s="75" t="s">
        <v>121</v>
      </c>
      <c r="G256" s="298" t="s">
        <v>332</v>
      </c>
      <c r="H256" s="72">
        <v>7784</v>
      </c>
      <c r="I256" s="72">
        <v>1784</v>
      </c>
      <c r="J256" s="72"/>
      <c r="K256" s="72"/>
      <c r="L256" s="72"/>
      <c r="M256" s="72"/>
      <c r="N256" s="72"/>
      <c r="O256" s="72"/>
      <c r="P256" s="72"/>
      <c r="Q256" s="72">
        <v>4200</v>
      </c>
      <c r="R256" s="72"/>
      <c r="S256" s="72"/>
      <c r="T256" s="72"/>
      <c r="U256" s="343">
        <v>1784</v>
      </c>
      <c r="V256" s="343">
        <f>U256</f>
        <v>1784</v>
      </c>
      <c r="W256" s="343"/>
      <c r="X256" s="343">
        <v>1500</v>
      </c>
      <c r="Y256" s="343"/>
      <c r="Z256" s="343"/>
      <c r="AA256" s="37" t="s">
        <v>410</v>
      </c>
      <c r="AB256" s="163">
        <v>1784</v>
      </c>
      <c r="AC256" s="314">
        <f t="shared" si="38"/>
        <v>-284</v>
      </c>
      <c r="AD256" s="36"/>
      <c r="AE256" s="36"/>
      <c r="AF256" s="36">
        <v>1300</v>
      </c>
      <c r="AG256" s="37"/>
      <c r="AH256" s="37">
        <f t="shared" si="40"/>
        <v>284</v>
      </c>
      <c r="AI256" s="37"/>
      <c r="AJ256" s="37"/>
      <c r="AK256" s="24">
        <f t="shared" si="41"/>
        <v>0</v>
      </c>
      <c r="AL256" s="35">
        <f t="shared" si="42"/>
        <v>200</v>
      </c>
    </row>
    <row r="257" spans="1:38" s="41" customFormat="1" ht="56.25" customHeight="1">
      <c r="A257" s="298">
        <v>34</v>
      </c>
      <c r="B257" s="348" t="s">
        <v>271</v>
      </c>
      <c r="C257" s="26" t="s">
        <v>12</v>
      </c>
      <c r="D257" s="54"/>
      <c r="E257" s="54"/>
      <c r="F257" s="75" t="s">
        <v>121</v>
      </c>
      <c r="G257" s="298" t="s">
        <v>333</v>
      </c>
      <c r="H257" s="72">
        <v>8442</v>
      </c>
      <c r="I257" s="343">
        <v>2442</v>
      </c>
      <c r="J257" s="72"/>
      <c r="K257" s="72"/>
      <c r="L257" s="72"/>
      <c r="M257" s="72"/>
      <c r="N257" s="72"/>
      <c r="O257" s="72"/>
      <c r="P257" s="72"/>
      <c r="Q257" s="72">
        <v>4200</v>
      </c>
      <c r="R257" s="72"/>
      <c r="S257" s="72"/>
      <c r="T257" s="72"/>
      <c r="U257" s="343">
        <v>2442</v>
      </c>
      <c r="V257" s="343">
        <f>U257</f>
        <v>2442</v>
      </c>
      <c r="W257" s="343"/>
      <c r="X257" s="343">
        <v>1800</v>
      </c>
      <c r="Y257" s="343"/>
      <c r="Z257" s="343"/>
      <c r="AA257" s="37" t="s">
        <v>410</v>
      </c>
      <c r="AB257" s="163">
        <v>2049</v>
      </c>
      <c r="AC257" s="314">
        <f t="shared" si="38"/>
        <v>-249</v>
      </c>
      <c r="AD257" s="36"/>
      <c r="AE257" s="36"/>
      <c r="AF257" s="36">
        <v>2600</v>
      </c>
      <c r="AG257" s="37"/>
      <c r="AH257" s="37">
        <f t="shared" si="40"/>
        <v>642</v>
      </c>
      <c r="AI257" s="37"/>
      <c r="AJ257" s="37"/>
      <c r="AK257" s="24">
        <f t="shared" si="41"/>
        <v>0</v>
      </c>
      <c r="AL257" s="35">
        <f t="shared" si="42"/>
        <v>-800</v>
      </c>
    </row>
    <row r="258" spans="1:38" s="41" customFormat="1" ht="54" customHeight="1">
      <c r="A258" s="298">
        <v>35</v>
      </c>
      <c r="B258" s="348" t="s">
        <v>272</v>
      </c>
      <c r="C258" s="26" t="s">
        <v>12</v>
      </c>
      <c r="D258" s="54"/>
      <c r="E258" s="54"/>
      <c r="F258" s="75" t="s">
        <v>121</v>
      </c>
      <c r="G258" s="298" t="s">
        <v>334</v>
      </c>
      <c r="H258" s="72">
        <v>8200</v>
      </c>
      <c r="I258" s="343">
        <v>2200</v>
      </c>
      <c r="J258" s="72"/>
      <c r="K258" s="72"/>
      <c r="L258" s="72"/>
      <c r="M258" s="72"/>
      <c r="N258" s="72"/>
      <c r="O258" s="72"/>
      <c r="P258" s="72"/>
      <c r="Q258" s="72">
        <v>4200</v>
      </c>
      <c r="R258" s="72"/>
      <c r="S258" s="72"/>
      <c r="T258" s="72"/>
      <c r="U258" s="343">
        <v>2200</v>
      </c>
      <c r="V258" s="343">
        <f>U258</f>
        <v>2200</v>
      </c>
      <c r="W258" s="343"/>
      <c r="X258" s="343">
        <v>1500</v>
      </c>
      <c r="Y258" s="343"/>
      <c r="Z258" s="343"/>
      <c r="AA258" s="37" t="s">
        <v>270</v>
      </c>
      <c r="AB258" s="163">
        <v>2200</v>
      </c>
      <c r="AC258" s="314">
        <f t="shared" si="38"/>
        <v>-700</v>
      </c>
      <c r="AD258" s="36"/>
      <c r="AE258" s="36"/>
      <c r="AF258" s="36">
        <v>2600</v>
      </c>
      <c r="AG258" s="37"/>
      <c r="AH258" s="37">
        <f t="shared" si="40"/>
        <v>700</v>
      </c>
      <c r="AI258" s="37"/>
      <c r="AJ258" s="37"/>
      <c r="AK258" s="24">
        <f t="shared" si="41"/>
        <v>0</v>
      </c>
      <c r="AL258" s="35">
        <f t="shared" si="42"/>
        <v>-1100</v>
      </c>
    </row>
    <row r="259" spans="1:38" s="41" customFormat="1" ht="51.75" customHeight="1">
      <c r="A259" s="298">
        <v>36</v>
      </c>
      <c r="B259" s="295" t="s">
        <v>105</v>
      </c>
      <c r="C259" s="26" t="s">
        <v>12</v>
      </c>
      <c r="D259" s="54"/>
      <c r="E259" s="54"/>
      <c r="F259" s="75"/>
      <c r="G259" s="298" t="s">
        <v>106</v>
      </c>
      <c r="H259" s="299">
        <v>14534</v>
      </c>
      <c r="I259" s="72">
        <f>H259/2</f>
        <v>7267</v>
      </c>
      <c r="J259" s="72"/>
      <c r="K259" s="72"/>
      <c r="L259" s="72"/>
      <c r="M259" s="72"/>
      <c r="N259" s="72"/>
      <c r="O259" s="72"/>
      <c r="P259" s="72"/>
      <c r="Q259" s="350">
        <v>1631</v>
      </c>
      <c r="R259" s="371"/>
      <c r="S259" s="72"/>
      <c r="T259" s="299"/>
      <c r="U259" s="343">
        <f>H259-Q259</f>
        <v>12903</v>
      </c>
      <c r="V259" s="343">
        <f>I259-R259</f>
        <v>7267</v>
      </c>
      <c r="W259" s="343"/>
      <c r="X259" s="343">
        <v>2151</v>
      </c>
      <c r="Y259" s="343"/>
      <c r="Z259" s="343"/>
      <c r="AA259" s="37" t="s">
        <v>64</v>
      </c>
      <c r="AB259" s="163">
        <v>2118</v>
      </c>
      <c r="AC259" s="314">
        <f t="shared" si="38"/>
        <v>33</v>
      </c>
      <c r="AD259" s="36"/>
      <c r="AE259" s="36"/>
      <c r="AF259" s="36">
        <v>2500</v>
      </c>
      <c r="AG259" s="37"/>
      <c r="AH259" s="37">
        <f t="shared" si="40"/>
        <v>5116</v>
      </c>
      <c r="AI259" s="37"/>
      <c r="AJ259" s="37"/>
      <c r="AK259" s="24">
        <f t="shared" si="41"/>
        <v>0</v>
      </c>
      <c r="AL259" s="35">
        <f t="shared" si="42"/>
        <v>-349</v>
      </c>
    </row>
    <row r="260" spans="1:38" s="41" customFormat="1" ht="42" customHeight="1">
      <c r="A260" s="298">
        <v>37</v>
      </c>
      <c r="B260" s="295" t="s">
        <v>728</v>
      </c>
      <c r="C260" s="295"/>
      <c r="D260" s="295"/>
      <c r="E260" s="295"/>
      <c r="F260" s="295"/>
      <c r="G260" s="437" t="s">
        <v>730</v>
      </c>
      <c r="H260" s="299">
        <v>61000</v>
      </c>
      <c r="I260" s="299">
        <v>6500</v>
      </c>
      <c r="J260" s="299"/>
      <c r="K260" s="299"/>
      <c r="L260" s="299"/>
      <c r="M260" s="299"/>
      <c r="N260" s="299"/>
      <c r="O260" s="299">
        <v>43721</v>
      </c>
      <c r="P260" s="299"/>
      <c r="Q260" s="299">
        <v>4200</v>
      </c>
      <c r="R260" s="299"/>
      <c r="S260" s="299"/>
      <c r="T260" s="299"/>
      <c r="U260" s="299">
        <v>6500</v>
      </c>
      <c r="V260" s="299">
        <f>U260</f>
        <v>6500</v>
      </c>
      <c r="W260" s="299">
        <f>V260</f>
        <v>6500</v>
      </c>
      <c r="X260" s="299">
        <v>4000</v>
      </c>
      <c r="Y260" s="299">
        <f>X260</f>
        <v>4000</v>
      </c>
      <c r="Z260" s="343"/>
      <c r="AA260" s="37" t="s">
        <v>732</v>
      </c>
      <c r="AB260" s="325">
        <v>4000</v>
      </c>
      <c r="AC260" s="325">
        <f t="shared" si="38"/>
        <v>0</v>
      </c>
      <c r="AD260" s="36"/>
      <c r="AE260" s="36"/>
      <c r="AF260" s="36"/>
      <c r="AG260" s="37"/>
      <c r="AH260" s="37">
        <f t="shared" si="40"/>
        <v>2500</v>
      </c>
      <c r="AI260" s="37"/>
      <c r="AJ260" s="37"/>
      <c r="AK260" s="24"/>
      <c r="AL260" s="35"/>
    </row>
    <row r="261" spans="1:38" s="41" customFormat="1" ht="39" customHeight="1">
      <c r="A261" s="298">
        <v>38</v>
      </c>
      <c r="B261" s="295" t="s">
        <v>729</v>
      </c>
      <c r="C261" s="295"/>
      <c r="D261" s="295"/>
      <c r="E261" s="295"/>
      <c r="F261" s="295"/>
      <c r="G261" s="437" t="s">
        <v>731</v>
      </c>
      <c r="H261" s="299">
        <v>13955</v>
      </c>
      <c r="I261" s="299">
        <v>2472</v>
      </c>
      <c r="J261" s="299"/>
      <c r="K261" s="299"/>
      <c r="L261" s="299"/>
      <c r="M261" s="299"/>
      <c r="N261" s="299"/>
      <c r="O261" s="299">
        <v>8483</v>
      </c>
      <c r="P261" s="299"/>
      <c r="Q261" s="299">
        <v>3000</v>
      </c>
      <c r="R261" s="299"/>
      <c r="S261" s="299"/>
      <c r="T261" s="299"/>
      <c r="U261" s="299">
        <f>H261-O261-Q261</f>
        <v>2472</v>
      </c>
      <c r="V261" s="299">
        <f>U261</f>
        <v>2472</v>
      </c>
      <c r="W261" s="299"/>
      <c r="X261" s="299">
        <v>1500</v>
      </c>
      <c r="Y261" s="299"/>
      <c r="Z261" s="343"/>
      <c r="AA261" s="37" t="s">
        <v>732</v>
      </c>
      <c r="AB261" s="325">
        <v>1500</v>
      </c>
      <c r="AC261" s="325">
        <f t="shared" si="38"/>
        <v>0</v>
      </c>
      <c r="AD261" s="36"/>
      <c r="AE261" s="36"/>
      <c r="AF261" s="36"/>
      <c r="AG261" s="37"/>
      <c r="AH261" s="37"/>
      <c r="AI261" s="37"/>
      <c r="AJ261" s="37"/>
      <c r="AK261" s="24"/>
      <c r="AL261" s="35"/>
    </row>
    <row r="262" spans="1:243" s="39" customFormat="1" ht="23.25" customHeight="1">
      <c r="A262" s="25"/>
      <c r="B262" s="438"/>
      <c r="C262" s="26"/>
      <c r="D262" s="361"/>
      <c r="E262" s="361"/>
      <c r="F262" s="75"/>
      <c r="G262" s="361"/>
      <c r="H262" s="275"/>
      <c r="I262" s="275"/>
      <c r="J262" s="275"/>
      <c r="K262" s="275"/>
      <c r="L262" s="275"/>
      <c r="M262" s="275"/>
      <c r="N262" s="275"/>
      <c r="O262" s="275"/>
      <c r="P262" s="275"/>
      <c r="Q262" s="275"/>
      <c r="R262" s="275"/>
      <c r="S262" s="373"/>
      <c r="T262" s="70"/>
      <c r="U262" s="343"/>
      <c r="V262" s="343"/>
      <c r="W262" s="343"/>
      <c r="X262" s="71"/>
      <c r="Y262" s="275"/>
      <c r="Z262" s="275"/>
      <c r="AA262" s="37"/>
      <c r="AB262" s="164"/>
      <c r="AC262" s="164">
        <f t="shared" si="38"/>
        <v>0</v>
      </c>
      <c r="AD262" s="36"/>
      <c r="AE262" s="36"/>
      <c r="AF262" s="36"/>
      <c r="AG262" s="37"/>
      <c r="AH262" s="37">
        <f>V262-X262</f>
        <v>0</v>
      </c>
      <c r="AI262" s="37"/>
      <c r="AJ262" s="37"/>
      <c r="AK262" s="24"/>
      <c r="AL262" s="35">
        <f>+X262-AF262</f>
        <v>0</v>
      </c>
      <c r="AM262" s="273"/>
      <c r="AN262" s="273"/>
      <c r="AO262" s="273"/>
      <c r="AP262" s="273"/>
      <c r="AQ262" s="273"/>
      <c r="AR262" s="273"/>
      <c r="AS262" s="273"/>
      <c r="AT262" s="273"/>
      <c r="AU262" s="273"/>
      <c r="AV262" s="273"/>
      <c r="AW262" s="273"/>
      <c r="AX262" s="273"/>
      <c r="AY262" s="273"/>
      <c r="AZ262" s="273"/>
      <c r="BA262" s="273"/>
      <c r="BB262" s="273"/>
      <c r="BC262" s="273"/>
      <c r="BD262" s="273"/>
      <c r="BE262" s="273"/>
      <c r="BF262" s="273"/>
      <c r="BG262" s="273"/>
      <c r="BH262" s="273"/>
      <c r="BI262" s="273"/>
      <c r="BJ262" s="273"/>
      <c r="BK262" s="273"/>
      <c r="BL262" s="273"/>
      <c r="BM262" s="273"/>
      <c r="BN262" s="273"/>
      <c r="BO262" s="273"/>
      <c r="BP262" s="273"/>
      <c r="BQ262" s="273"/>
      <c r="BR262" s="273"/>
      <c r="BS262" s="273"/>
      <c r="BT262" s="273"/>
      <c r="BU262" s="273"/>
      <c r="BV262" s="273"/>
      <c r="BW262" s="273"/>
      <c r="BX262" s="273"/>
      <c r="BY262" s="273"/>
      <c r="BZ262" s="273"/>
      <c r="CA262" s="273"/>
      <c r="CB262" s="273"/>
      <c r="CC262" s="273"/>
      <c r="CD262" s="273"/>
      <c r="CE262" s="273"/>
      <c r="CF262" s="273"/>
      <c r="CG262" s="273"/>
      <c r="CH262" s="273"/>
      <c r="CI262" s="273"/>
      <c r="CJ262" s="273"/>
      <c r="CK262" s="273"/>
      <c r="CL262" s="273"/>
      <c r="CM262" s="273"/>
      <c r="CN262" s="273"/>
      <c r="CO262" s="273"/>
      <c r="CP262" s="273"/>
      <c r="CQ262" s="273"/>
      <c r="CR262" s="273"/>
      <c r="CS262" s="273"/>
      <c r="CT262" s="273"/>
      <c r="CU262" s="273"/>
      <c r="CV262" s="273"/>
      <c r="CW262" s="273"/>
      <c r="CX262" s="273"/>
      <c r="CY262" s="273"/>
      <c r="CZ262" s="273"/>
      <c r="DA262" s="273"/>
      <c r="DB262" s="273"/>
      <c r="DC262" s="273"/>
      <c r="DD262" s="273"/>
      <c r="DE262" s="273"/>
      <c r="DF262" s="273"/>
      <c r="DG262" s="273"/>
      <c r="DH262" s="273"/>
      <c r="DI262" s="273"/>
      <c r="DJ262" s="273"/>
      <c r="DK262" s="273"/>
      <c r="DL262" s="273"/>
      <c r="DM262" s="273"/>
      <c r="DN262" s="273"/>
      <c r="DO262" s="273"/>
      <c r="DP262" s="273"/>
      <c r="DQ262" s="273"/>
      <c r="DR262" s="273"/>
      <c r="DS262" s="273"/>
      <c r="DT262" s="273"/>
      <c r="DU262" s="273"/>
      <c r="DV262" s="273"/>
      <c r="DW262" s="273"/>
      <c r="DX262" s="273"/>
      <c r="DY262" s="273"/>
      <c r="DZ262" s="273"/>
      <c r="EA262" s="273"/>
      <c r="EB262" s="273"/>
      <c r="EC262" s="273"/>
      <c r="ED262" s="273"/>
      <c r="EE262" s="273"/>
      <c r="EF262" s="273"/>
      <c r="EG262" s="273"/>
      <c r="EH262" s="273"/>
      <c r="EI262" s="273"/>
      <c r="EJ262" s="273"/>
      <c r="EK262" s="273"/>
      <c r="EL262" s="273"/>
      <c r="EM262" s="273"/>
      <c r="EN262" s="273"/>
      <c r="EO262" s="273"/>
      <c r="EP262" s="273"/>
      <c r="EQ262" s="273"/>
      <c r="ER262" s="273"/>
      <c r="ES262" s="273"/>
      <c r="ET262" s="273"/>
      <c r="EU262" s="273"/>
      <c r="EV262" s="273"/>
      <c r="EW262" s="273"/>
      <c r="EX262" s="273"/>
      <c r="EY262" s="273"/>
      <c r="EZ262" s="273"/>
      <c r="FA262" s="273"/>
      <c r="FB262" s="273"/>
      <c r="FC262" s="273"/>
      <c r="FD262" s="273"/>
      <c r="FE262" s="273"/>
      <c r="FF262" s="273"/>
      <c r="FG262" s="273"/>
      <c r="FH262" s="273"/>
      <c r="FI262" s="273"/>
      <c r="FJ262" s="273"/>
      <c r="FK262" s="273"/>
      <c r="FL262" s="273"/>
      <c r="FM262" s="273"/>
      <c r="FN262" s="273"/>
      <c r="FO262" s="273"/>
      <c r="FP262" s="273"/>
      <c r="FQ262" s="273"/>
      <c r="FR262" s="273"/>
      <c r="FS262" s="273"/>
      <c r="FT262" s="273"/>
      <c r="FU262" s="273"/>
      <c r="FV262" s="273"/>
      <c r="FW262" s="273"/>
      <c r="FX262" s="273"/>
      <c r="FY262" s="273"/>
      <c r="FZ262" s="273"/>
      <c r="GA262" s="273"/>
      <c r="GB262" s="273"/>
      <c r="GC262" s="273"/>
      <c r="GD262" s="273"/>
      <c r="GE262" s="273"/>
      <c r="GF262" s="273"/>
      <c r="GG262" s="273"/>
      <c r="GH262" s="273"/>
      <c r="GI262" s="273"/>
      <c r="GJ262" s="273"/>
      <c r="GK262" s="273"/>
      <c r="GL262" s="273"/>
      <c r="GM262" s="273"/>
      <c r="GN262" s="273"/>
      <c r="GO262" s="273"/>
      <c r="GP262" s="273"/>
      <c r="GQ262" s="273"/>
      <c r="GR262" s="273"/>
      <c r="GS262" s="273"/>
      <c r="GT262" s="273"/>
      <c r="GU262" s="273"/>
      <c r="GV262" s="273"/>
      <c r="GW262" s="273"/>
      <c r="GX262" s="273"/>
      <c r="GY262" s="273"/>
      <c r="GZ262" s="273"/>
      <c r="HA262" s="273"/>
      <c r="HB262" s="273"/>
      <c r="HC262" s="273"/>
      <c r="HD262" s="273"/>
      <c r="HE262" s="273"/>
      <c r="HF262" s="273"/>
      <c r="HG262" s="273"/>
      <c r="HH262" s="273"/>
      <c r="HI262" s="273"/>
      <c r="HJ262" s="273"/>
      <c r="HK262" s="273"/>
      <c r="HL262" s="273"/>
      <c r="HM262" s="273"/>
      <c r="HN262" s="273"/>
      <c r="HO262" s="273"/>
      <c r="HP262" s="273"/>
      <c r="HQ262" s="273"/>
      <c r="HR262" s="273"/>
      <c r="HS262" s="273"/>
      <c r="HT262" s="273"/>
      <c r="HU262" s="273"/>
      <c r="HV262" s="273"/>
      <c r="HW262" s="273"/>
      <c r="HX262" s="273"/>
      <c r="HY262" s="273"/>
      <c r="HZ262" s="273"/>
      <c r="IA262" s="273"/>
      <c r="IB262" s="273"/>
      <c r="IC262" s="273"/>
      <c r="ID262" s="273"/>
      <c r="IE262" s="273"/>
      <c r="IF262" s="273"/>
      <c r="IG262" s="273"/>
      <c r="IH262" s="273"/>
      <c r="II262" s="273"/>
    </row>
    <row r="263" spans="1:38" s="273" customFormat="1" ht="27" customHeight="1">
      <c r="A263" s="382" t="s">
        <v>49</v>
      </c>
      <c r="B263" s="351" t="s">
        <v>359</v>
      </c>
      <c r="C263" s="54"/>
      <c r="D263" s="361"/>
      <c r="E263" s="361"/>
      <c r="F263" s="75"/>
      <c r="G263" s="361"/>
      <c r="H263" s="275">
        <f aca="true" t="shared" si="44" ref="H263:Y263">SUM(H264:H277)</f>
        <v>691312.6</v>
      </c>
      <c r="I263" s="275">
        <f t="shared" si="44"/>
        <v>129322.5</v>
      </c>
      <c r="J263" s="275">
        <f t="shared" si="44"/>
        <v>0</v>
      </c>
      <c r="K263" s="275">
        <f t="shared" si="44"/>
        <v>24430</v>
      </c>
      <c r="L263" s="275">
        <f t="shared" si="44"/>
        <v>0</v>
      </c>
      <c r="M263" s="275">
        <f t="shared" si="44"/>
        <v>237846.912</v>
      </c>
      <c r="N263" s="275">
        <f t="shared" si="44"/>
        <v>191876.912</v>
      </c>
      <c r="O263" s="275">
        <f t="shared" si="44"/>
        <v>556963.912</v>
      </c>
      <c r="P263" s="275">
        <f t="shared" si="44"/>
        <v>17540</v>
      </c>
      <c r="Q263" s="275">
        <f t="shared" si="44"/>
        <v>16485</v>
      </c>
      <c r="R263" s="275">
        <f t="shared" si="44"/>
        <v>6000</v>
      </c>
      <c r="S263" s="275">
        <f t="shared" si="44"/>
        <v>0</v>
      </c>
      <c r="T263" s="275">
        <f t="shared" si="44"/>
        <v>5452.1</v>
      </c>
      <c r="U263" s="275">
        <f t="shared" si="44"/>
        <v>102232.012</v>
      </c>
      <c r="V263" s="275">
        <f t="shared" si="44"/>
        <v>86623.912</v>
      </c>
      <c r="W263" s="275">
        <f t="shared" si="44"/>
        <v>11630.412</v>
      </c>
      <c r="X263" s="275">
        <f t="shared" si="44"/>
        <v>26035.274</v>
      </c>
      <c r="Y263" s="275">
        <f t="shared" si="44"/>
        <v>15641.774000000001</v>
      </c>
      <c r="Z263" s="275"/>
      <c r="AA263" s="33">
        <v>26035.28029100353</v>
      </c>
      <c r="AB263" s="316">
        <v>26035.370000000003</v>
      </c>
      <c r="AC263" s="317">
        <f t="shared" si="38"/>
        <v>-0.09600000000136788</v>
      </c>
      <c r="AD263" s="32"/>
      <c r="AE263" s="32"/>
      <c r="AF263" s="32">
        <v>22347.508</v>
      </c>
      <c r="AG263" s="33"/>
      <c r="AH263" s="37">
        <f>SUM(AH268:AH278)</f>
        <v>14093</v>
      </c>
      <c r="AI263" s="37">
        <f>AA263-AH263</f>
        <v>11942.280291003532</v>
      </c>
      <c r="AJ263" s="37"/>
      <c r="AK263" s="24">
        <f>X263-AA263</f>
        <v>-0.006291003530350281</v>
      </c>
      <c r="AL263" s="35">
        <f>+X263-AF263</f>
        <v>3687.7659999999996</v>
      </c>
    </row>
    <row r="264" spans="1:38" s="273" customFormat="1" ht="38.25">
      <c r="A264" s="298">
        <v>1</v>
      </c>
      <c r="B264" s="390" t="s">
        <v>607</v>
      </c>
      <c r="C264" s="54"/>
      <c r="D264" s="361"/>
      <c r="E264" s="361"/>
      <c r="F264" s="75"/>
      <c r="G264" s="421"/>
      <c r="H264" s="275"/>
      <c r="I264" s="275"/>
      <c r="J264" s="275"/>
      <c r="K264" s="275"/>
      <c r="L264" s="275"/>
      <c r="M264" s="275"/>
      <c r="N264" s="275"/>
      <c r="O264" s="275"/>
      <c r="P264" s="275"/>
      <c r="Q264" s="275"/>
      <c r="R264" s="275"/>
      <c r="S264" s="275"/>
      <c r="T264" s="275"/>
      <c r="U264" s="275"/>
      <c r="V264" s="275"/>
      <c r="W264" s="275"/>
      <c r="X264" s="423">
        <v>99.354</v>
      </c>
      <c r="Y264" s="423">
        <f>X264</f>
        <v>99.354</v>
      </c>
      <c r="Z264" s="275"/>
      <c r="AA264" s="37" t="s">
        <v>520</v>
      </c>
      <c r="AB264" s="323">
        <v>99.354</v>
      </c>
      <c r="AC264" s="314">
        <f t="shared" si="38"/>
        <v>0</v>
      </c>
      <c r="AD264" s="36"/>
      <c r="AE264" s="36"/>
      <c r="AF264" s="32"/>
      <c r="AG264" s="33"/>
      <c r="AH264" s="37"/>
      <c r="AI264" s="37"/>
      <c r="AJ264" s="37"/>
      <c r="AK264" s="24"/>
      <c r="AL264" s="35"/>
    </row>
    <row r="265" spans="1:38" s="273" customFormat="1" ht="38.25">
      <c r="A265" s="298">
        <v>2</v>
      </c>
      <c r="B265" s="388" t="s">
        <v>616</v>
      </c>
      <c r="C265" s="54"/>
      <c r="D265" s="361"/>
      <c r="E265" s="361"/>
      <c r="F265" s="75"/>
      <c r="G265" s="361"/>
      <c r="H265" s="275"/>
      <c r="I265" s="275"/>
      <c r="J265" s="275"/>
      <c r="K265" s="275"/>
      <c r="L265" s="275"/>
      <c r="M265" s="275"/>
      <c r="N265" s="275"/>
      <c r="O265" s="275"/>
      <c r="P265" s="275"/>
      <c r="Q265" s="275"/>
      <c r="R265" s="275"/>
      <c r="S265" s="275"/>
      <c r="T265" s="275"/>
      <c r="U265" s="275"/>
      <c r="V265" s="275"/>
      <c r="W265" s="275"/>
      <c r="X265" s="423">
        <v>22.008</v>
      </c>
      <c r="Y265" s="423">
        <f>X265</f>
        <v>22.008</v>
      </c>
      <c r="Z265" s="275"/>
      <c r="AA265" s="37" t="s">
        <v>520</v>
      </c>
      <c r="AB265" s="323">
        <v>22.008</v>
      </c>
      <c r="AC265" s="314">
        <f t="shared" si="38"/>
        <v>0</v>
      </c>
      <c r="AD265" s="36"/>
      <c r="AE265" s="36"/>
      <c r="AF265" s="32"/>
      <c r="AG265" s="33"/>
      <c r="AH265" s="37"/>
      <c r="AI265" s="37"/>
      <c r="AJ265" s="37"/>
      <c r="AK265" s="24"/>
      <c r="AL265" s="35"/>
    </row>
    <row r="266" spans="1:242" s="192" customFormat="1" ht="39" customHeight="1">
      <c r="A266" s="298">
        <v>3</v>
      </c>
      <c r="B266" s="226" t="s">
        <v>760</v>
      </c>
      <c r="C266" s="227" t="s">
        <v>761</v>
      </c>
      <c r="D266" s="168"/>
      <c r="E266" s="228" t="s">
        <v>79</v>
      </c>
      <c r="F266" s="229" t="s">
        <v>762</v>
      </c>
      <c r="G266" s="71"/>
      <c r="H266" s="71"/>
      <c r="I266" s="69"/>
      <c r="J266" s="69"/>
      <c r="K266" s="69"/>
      <c r="L266" s="69"/>
      <c r="M266" s="69"/>
      <c r="N266" s="71"/>
      <c r="O266" s="71"/>
      <c r="P266" s="71"/>
      <c r="Q266" s="69"/>
      <c r="R266" s="69"/>
      <c r="S266" s="69"/>
      <c r="T266" s="391">
        <f>U266</f>
        <v>275</v>
      </c>
      <c r="U266" s="391">
        <v>275</v>
      </c>
      <c r="V266" s="71">
        <f>U266</f>
        <v>275</v>
      </c>
      <c r="W266" s="71">
        <f>X266</f>
        <v>275</v>
      </c>
      <c r="X266" s="71">
        <f>Y266</f>
        <v>275</v>
      </c>
      <c r="Y266" s="215">
        <f>V266</f>
        <v>275</v>
      </c>
      <c r="Z266" s="12" t="s">
        <v>758</v>
      </c>
      <c r="AA266" s="37" t="s">
        <v>520</v>
      </c>
      <c r="AB266" s="164">
        <v>275</v>
      </c>
      <c r="AC266" s="164">
        <f t="shared" si="38"/>
        <v>0</v>
      </c>
      <c r="AD266" s="162">
        <f>Y266</f>
        <v>275</v>
      </c>
      <c r="AE266" s="162"/>
      <c r="AF266" s="174"/>
      <c r="AG266" s="176"/>
      <c r="AH266" s="176"/>
      <c r="AI266" s="176"/>
      <c r="AJ266" s="178"/>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69"/>
      <c r="HT266" s="169"/>
      <c r="HU266" s="169"/>
      <c r="HV266" s="169"/>
      <c r="HW266" s="169"/>
      <c r="HX266" s="169"/>
      <c r="HY266" s="169"/>
      <c r="HZ266" s="169"/>
      <c r="IA266" s="169"/>
      <c r="IB266" s="169"/>
      <c r="IC266" s="169"/>
      <c r="ID266" s="169"/>
      <c r="IE266" s="169"/>
      <c r="IF266" s="169"/>
      <c r="IG266" s="169"/>
      <c r="IH266" s="169"/>
    </row>
    <row r="267" spans="1:243" s="40" customFormat="1" ht="79.5" customHeight="1">
      <c r="A267" s="298">
        <v>4</v>
      </c>
      <c r="B267" s="426" t="s">
        <v>798</v>
      </c>
      <c r="C267" s="54" t="s">
        <v>392</v>
      </c>
      <c r="D267" s="26"/>
      <c r="E267" s="26"/>
      <c r="F267" s="439" t="s">
        <v>799</v>
      </c>
      <c r="G267" s="207" t="s">
        <v>800</v>
      </c>
      <c r="H267" s="429">
        <v>15232</v>
      </c>
      <c r="I267" s="425"/>
      <c r="J267" s="425"/>
      <c r="K267" s="425"/>
      <c r="L267" s="425"/>
      <c r="M267" s="425"/>
      <c r="N267" s="425"/>
      <c r="O267" s="425">
        <v>14887</v>
      </c>
      <c r="P267" s="425"/>
      <c r="Q267" s="425"/>
      <c r="R267" s="425"/>
      <c r="S267" s="425"/>
      <c r="T267" s="425"/>
      <c r="U267" s="440">
        <v>52</v>
      </c>
      <c r="V267" s="425">
        <f>U267</f>
        <v>52</v>
      </c>
      <c r="W267" s="425">
        <v>52</v>
      </c>
      <c r="X267" s="425">
        <v>52</v>
      </c>
      <c r="Y267" s="425">
        <f>X267</f>
        <v>52</v>
      </c>
      <c r="Z267" s="71"/>
      <c r="AA267" s="37" t="s">
        <v>520</v>
      </c>
      <c r="AB267" s="318">
        <v>52</v>
      </c>
      <c r="AC267" s="318">
        <f t="shared" si="38"/>
        <v>0</v>
      </c>
      <c r="AD267" s="36">
        <f>X267</f>
        <v>52</v>
      </c>
      <c r="AE267" s="36"/>
      <c r="AF267" s="42"/>
      <c r="AG267" s="13"/>
      <c r="AH267" s="37"/>
      <c r="AI267" s="37"/>
      <c r="AJ267" s="37"/>
      <c r="AK267" s="24"/>
      <c r="AL267" s="35"/>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31"/>
      <c r="GY267" s="31"/>
      <c r="GZ267" s="31"/>
      <c r="HA267" s="31"/>
      <c r="HB267" s="31"/>
      <c r="HC267" s="31"/>
      <c r="HD267" s="31"/>
      <c r="HE267" s="31"/>
      <c r="HF267" s="31"/>
      <c r="HG267" s="31"/>
      <c r="HH267" s="31"/>
      <c r="HI267" s="31"/>
      <c r="HJ267" s="31"/>
      <c r="HK267" s="31"/>
      <c r="HL267" s="31"/>
      <c r="HM267" s="31"/>
      <c r="HN267" s="31"/>
      <c r="HO267" s="31"/>
      <c r="HP267" s="31"/>
      <c r="HQ267" s="31"/>
      <c r="HR267" s="31"/>
      <c r="HS267" s="31"/>
      <c r="HT267" s="31"/>
      <c r="HU267" s="31"/>
      <c r="HV267" s="31"/>
      <c r="HW267" s="31"/>
      <c r="HX267" s="31"/>
      <c r="HY267" s="31"/>
      <c r="HZ267" s="31"/>
      <c r="IA267" s="31"/>
      <c r="IB267" s="31"/>
      <c r="IC267" s="31"/>
      <c r="ID267" s="31"/>
      <c r="IE267" s="31"/>
      <c r="IF267" s="31"/>
      <c r="IG267" s="31"/>
      <c r="IH267" s="31"/>
      <c r="II267" s="31"/>
    </row>
    <row r="268" spans="1:38" s="41" customFormat="1" ht="84" customHeight="1">
      <c r="A268" s="298">
        <v>5</v>
      </c>
      <c r="B268" s="441" t="s">
        <v>345</v>
      </c>
      <c r="C268" s="54" t="s">
        <v>392</v>
      </c>
      <c r="D268" s="54"/>
      <c r="E268" s="54"/>
      <c r="F268" s="75"/>
      <c r="G268" s="356" t="s">
        <v>532</v>
      </c>
      <c r="H268" s="395">
        <v>70600</v>
      </c>
      <c r="I268" s="442">
        <f>7000+2907</f>
        <v>9907</v>
      </c>
      <c r="J268" s="72"/>
      <c r="K268" s="72"/>
      <c r="L268" s="72"/>
      <c r="M268" s="443">
        <v>63488</v>
      </c>
      <c r="N268" s="376">
        <v>17518</v>
      </c>
      <c r="O268" s="443">
        <v>66395</v>
      </c>
      <c r="P268" s="376">
        <v>7000</v>
      </c>
      <c r="Q268" s="72"/>
      <c r="R268" s="72"/>
      <c r="S268" s="72"/>
      <c r="T268" s="72"/>
      <c r="U268" s="343">
        <v>2907</v>
      </c>
      <c r="V268" s="343">
        <f aca="true" t="shared" si="45" ref="V268:Y270">U268</f>
        <v>2907</v>
      </c>
      <c r="W268" s="343">
        <f t="shared" si="45"/>
        <v>2907</v>
      </c>
      <c r="X268" s="343">
        <f t="shared" si="45"/>
        <v>2907</v>
      </c>
      <c r="Y268" s="343">
        <f t="shared" si="45"/>
        <v>2907</v>
      </c>
      <c r="Z268" s="343"/>
      <c r="AA268" s="37" t="s">
        <v>364</v>
      </c>
      <c r="AB268" s="163">
        <v>2907</v>
      </c>
      <c r="AC268" s="314">
        <f t="shared" si="38"/>
        <v>0</v>
      </c>
      <c r="AD268" s="36"/>
      <c r="AE268" s="36"/>
      <c r="AF268" s="36">
        <v>2907</v>
      </c>
      <c r="AG268" s="37"/>
      <c r="AH268" s="37">
        <f>V268-X268</f>
        <v>0</v>
      </c>
      <c r="AI268" s="37"/>
      <c r="AJ268" s="37"/>
      <c r="AK268" s="24">
        <f>W268-Y268</f>
        <v>0</v>
      </c>
      <c r="AL268" s="35">
        <f>+X268-AF268</f>
        <v>0</v>
      </c>
    </row>
    <row r="269" spans="1:243" ht="54.75" customHeight="1">
      <c r="A269" s="298">
        <v>6</v>
      </c>
      <c r="B269" s="248" t="s">
        <v>680</v>
      </c>
      <c r="C269" s="249" t="s">
        <v>681</v>
      </c>
      <c r="D269" s="25"/>
      <c r="E269" s="249" t="s">
        <v>682</v>
      </c>
      <c r="F269" s="207" t="s">
        <v>683</v>
      </c>
      <c r="G269" s="207" t="s">
        <v>683</v>
      </c>
      <c r="H269" s="215">
        <v>320000</v>
      </c>
      <c r="I269" s="215">
        <v>6172</v>
      </c>
      <c r="J269" s="215"/>
      <c r="K269" s="215"/>
      <c r="L269" s="215"/>
      <c r="M269" s="215"/>
      <c r="N269" s="215"/>
      <c r="O269" s="215">
        <v>294720</v>
      </c>
      <c r="P269" s="215"/>
      <c r="Q269" s="215">
        <v>5000</v>
      </c>
      <c r="R269" s="215"/>
      <c r="S269" s="215"/>
      <c r="T269" s="215"/>
      <c r="U269" s="215">
        <v>6172</v>
      </c>
      <c r="V269" s="215">
        <f>U269</f>
        <v>6172</v>
      </c>
      <c r="W269" s="215"/>
      <c r="X269" s="215">
        <f>V269</f>
        <v>6172</v>
      </c>
      <c r="Y269" s="215">
        <f>X269</f>
        <v>6172</v>
      </c>
      <c r="Z269" s="12" t="s">
        <v>656</v>
      </c>
      <c r="AA269" s="37" t="s">
        <v>364</v>
      </c>
      <c r="AB269" s="166">
        <v>6172</v>
      </c>
      <c r="AC269" s="166">
        <f t="shared" si="38"/>
        <v>0</v>
      </c>
      <c r="AD269" s="36"/>
      <c r="AE269" s="36"/>
      <c r="AF269" s="177"/>
      <c r="AG269" s="12"/>
      <c r="AH269" s="17"/>
      <c r="AI269" s="17"/>
      <c r="AJ269" s="17"/>
      <c r="AK269" s="23"/>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c r="HN269" s="31"/>
      <c r="HO269" s="31"/>
      <c r="HP269" s="31"/>
      <c r="HQ269" s="31"/>
      <c r="HR269" s="31"/>
      <c r="HS269" s="31"/>
      <c r="HT269" s="31"/>
      <c r="HU269" s="31"/>
      <c r="HV269" s="31"/>
      <c r="HW269" s="31"/>
      <c r="HX269" s="31"/>
      <c r="HY269" s="31"/>
      <c r="HZ269" s="31"/>
      <c r="IA269" s="31"/>
      <c r="IB269" s="31"/>
      <c r="IC269" s="31"/>
      <c r="ID269" s="31"/>
      <c r="IE269" s="31"/>
      <c r="IF269" s="31"/>
      <c r="IG269" s="31"/>
      <c r="IH269" s="31"/>
      <c r="II269" s="31"/>
    </row>
    <row r="270" spans="1:38" s="41" customFormat="1" ht="69" customHeight="1">
      <c r="A270" s="298">
        <v>7</v>
      </c>
      <c r="B270" s="381" t="s">
        <v>136</v>
      </c>
      <c r="C270" s="54" t="s">
        <v>392</v>
      </c>
      <c r="D270" s="54"/>
      <c r="E270" s="54"/>
      <c r="F270" s="75"/>
      <c r="G270" s="26" t="s">
        <v>477</v>
      </c>
      <c r="H270" s="395">
        <v>6927</v>
      </c>
      <c r="I270" s="395">
        <v>114</v>
      </c>
      <c r="J270" s="395"/>
      <c r="K270" s="395"/>
      <c r="L270" s="395"/>
      <c r="M270" s="395">
        <v>6655</v>
      </c>
      <c r="N270" s="395">
        <v>6655</v>
      </c>
      <c r="O270" s="395">
        <v>6655</v>
      </c>
      <c r="P270" s="72"/>
      <c r="Q270" s="72"/>
      <c r="R270" s="72"/>
      <c r="S270" s="72"/>
      <c r="T270" s="72"/>
      <c r="U270" s="343">
        <v>114.41200000000026</v>
      </c>
      <c r="V270" s="343">
        <f t="shared" si="45"/>
        <v>114.41200000000026</v>
      </c>
      <c r="W270" s="343">
        <f t="shared" si="45"/>
        <v>114.41200000000026</v>
      </c>
      <c r="X270" s="343">
        <f t="shared" si="45"/>
        <v>114.41200000000026</v>
      </c>
      <c r="Y270" s="343">
        <f t="shared" si="45"/>
        <v>114.41200000000026</v>
      </c>
      <c r="Z270" s="343"/>
      <c r="AA270" s="37" t="s">
        <v>364</v>
      </c>
      <c r="AB270" s="163">
        <v>114.41200000000026</v>
      </c>
      <c r="AC270" s="314">
        <f t="shared" si="38"/>
        <v>0</v>
      </c>
      <c r="AD270" s="36"/>
      <c r="AE270" s="36"/>
      <c r="AF270" s="36">
        <v>114.41200000000026</v>
      </c>
      <c r="AG270" s="37"/>
      <c r="AH270" s="37">
        <f>V270-X270</f>
        <v>0</v>
      </c>
      <c r="AI270" s="37"/>
      <c r="AJ270" s="37"/>
      <c r="AK270" s="24">
        <f>W270-Y270</f>
        <v>0</v>
      </c>
      <c r="AL270" s="35">
        <f>+X270-AF270</f>
        <v>0</v>
      </c>
    </row>
    <row r="271" spans="1:243" s="40" customFormat="1" ht="45" customHeight="1">
      <c r="A271" s="298">
        <v>8</v>
      </c>
      <c r="B271" s="77" t="s">
        <v>183</v>
      </c>
      <c r="C271" s="54" t="s">
        <v>392</v>
      </c>
      <c r="D271" s="26" t="s">
        <v>127</v>
      </c>
      <c r="E271" s="26"/>
      <c r="F271" s="75"/>
      <c r="G271" s="26" t="s">
        <v>128</v>
      </c>
      <c r="H271" s="71">
        <v>23890</v>
      </c>
      <c r="I271" s="71">
        <f>23890-2000</f>
        <v>21890</v>
      </c>
      <c r="J271" s="71"/>
      <c r="K271" s="71"/>
      <c r="L271" s="71"/>
      <c r="M271" s="71">
        <v>6437</v>
      </c>
      <c r="N271" s="71">
        <v>6437</v>
      </c>
      <c r="O271" s="71">
        <v>6437</v>
      </c>
      <c r="P271" s="71">
        <f>6437-2500</f>
        <v>3937</v>
      </c>
      <c r="Q271" s="71">
        <v>2000</v>
      </c>
      <c r="R271" s="71">
        <f>Q271</f>
        <v>2000</v>
      </c>
      <c r="S271" s="71"/>
      <c r="T271" s="71"/>
      <c r="U271" s="71">
        <v>17450</v>
      </c>
      <c r="V271" s="71">
        <v>4000</v>
      </c>
      <c r="W271" s="71"/>
      <c r="X271" s="71">
        <v>4000</v>
      </c>
      <c r="Y271" s="71"/>
      <c r="Z271" s="71"/>
      <c r="AA271" s="37" t="s">
        <v>366</v>
      </c>
      <c r="AB271" s="164">
        <v>4000</v>
      </c>
      <c r="AC271" s="164">
        <f t="shared" si="38"/>
        <v>0</v>
      </c>
      <c r="AD271" s="36"/>
      <c r="AE271" s="36"/>
      <c r="AF271" s="36">
        <v>4000</v>
      </c>
      <c r="AG271" s="37"/>
      <c r="AH271" s="37">
        <f>V271-X271</f>
        <v>0</v>
      </c>
      <c r="AI271" s="37"/>
      <c r="AJ271" s="37"/>
      <c r="AK271" s="24">
        <f>W271-Y271</f>
        <v>0</v>
      </c>
      <c r="AL271" s="35">
        <f>+X271-AF271</f>
        <v>0</v>
      </c>
      <c r="AM271" s="38"/>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c r="HN271" s="31"/>
      <c r="HO271" s="31"/>
      <c r="HP271" s="31"/>
      <c r="HQ271" s="31"/>
      <c r="HR271" s="31"/>
      <c r="HS271" s="31"/>
      <c r="HT271" s="31"/>
      <c r="HU271" s="31"/>
      <c r="HV271" s="31"/>
      <c r="HW271" s="31"/>
      <c r="HX271" s="31"/>
      <c r="HY271" s="31"/>
      <c r="HZ271" s="31"/>
      <c r="IA271" s="31"/>
      <c r="IB271" s="31"/>
      <c r="IC271" s="31"/>
      <c r="ID271" s="31"/>
      <c r="IE271" s="31"/>
      <c r="IF271" s="31"/>
      <c r="IG271" s="31"/>
      <c r="IH271" s="31"/>
      <c r="II271" s="31"/>
    </row>
    <row r="272" spans="1:38" s="41" customFormat="1" ht="47.25" customHeight="1">
      <c r="A272" s="298">
        <v>9</v>
      </c>
      <c r="B272" s="346" t="s">
        <v>497</v>
      </c>
      <c r="C272" s="54"/>
      <c r="D272" s="54"/>
      <c r="E272" s="54"/>
      <c r="F272" s="75"/>
      <c r="G272" s="356" t="s">
        <v>498</v>
      </c>
      <c r="H272" s="72">
        <v>10166</v>
      </c>
      <c r="I272" s="72">
        <v>10166</v>
      </c>
      <c r="J272" s="379"/>
      <c r="K272" s="72"/>
      <c r="L272" s="72"/>
      <c r="M272" s="72"/>
      <c r="N272" s="72"/>
      <c r="O272" s="72">
        <v>6603</v>
      </c>
      <c r="P272" s="72">
        <v>6603</v>
      </c>
      <c r="Q272" s="72">
        <v>3200</v>
      </c>
      <c r="R272" s="72"/>
      <c r="S272" s="72"/>
      <c r="T272" s="72"/>
      <c r="U272" s="343">
        <v>363</v>
      </c>
      <c r="V272" s="343">
        <v>363</v>
      </c>
      <c r="W272" s="343"/>
      <c r="X272" s="343">
        <v>363</v>
      </c>
      <c r="Y272" s="343"/>
      <c r="Z272" s="282" t="s">
        <v>499</v>
      </c>
      <c r="AA272" s="37" t="s">
        <v>366</v>
      </c>
      <c r="AB272" s="163">
        <v>363</v>
      </c>
      <c r="AC272" s="314">
        <f t="shared" si="38"/>
        <v>0</v>
      </c>
      <c r="AD272" s="162"/>
      <c r="AE272" s="162"/>
      <c r="AF272" s="41">
        <v>363</v>
      </c>
      <c r="AL272" s="35">
        <f>+X272-AF272</f>
        <v>0</v>
      </c>
    </row>
    <row r="273" spans="1:242" ht="48.75" customHeight="1">
      <c r="A273" s="298">
        <v>10</v>
      </c>
      <c r="B273" s="418" t="s">
        <v>719</v>
      </c>
      <c r="C273" s="254" t="s">
        <v>781</v>
      </c>
      <c r="D273" s="25"/>
      <c r="E273" s="227" t="s">
        <v>304</v>
      </c>
      <c r="F273" s="227" t="s">
        <v>782</v>
      </c>
      <c r="G273" s="227" t="s">
        <v>782</v>
      </c>
      <c r="H273" s="71">
        <v>3667.6</v>
      </c>
      <c r="I273" s="71">
        <v>1509.5</v>
      </c>
      <c r="J273" s="71"/>
      <c r="K273" s="71"/>
      <c r="L273" s="71"/>
      <c r="M273" s="71"/>
      <c r="N273" s="71"/>
      <c r="O273" s="71"/>
      <c r="P273" s="71"/>
      <c r="Q273" s="71"/>
      <c r="R273" s="71"/>
      <c r="S273" s="71"/>
      <c r="T273" s="71">
        <f>U273+V273</f>
        <v>5177.1</v>
      </c>
      <c r="U273" s="71">
        <v>3667.6</v>
      </c>
      <c r="V273" s="71">
        <v>1509.5</v>
      </c>
      <c r="W273" s="71"/>
      <c r="X273" s="215">
        <f>V273</f>
        <v>1509.5</v>
      </c>
      <c r="Y273" s="215"/>
      <c r="Z273" s="12"/>
      <c r="AA273" s="37" t="s">
        <v>366</v>
      </c>
      <c r="AB273" s="166">
        <v>1509.5</v>
      </c>
      <c r="AC273" s="166">
        <f>+X273-AB273</f>
        <v>0</v>
      </c>
      <c r="AD273" s="32">
        <f>X273</f>
        <v>1509.5</v>
      </c>
      <c r="AE273" s="32"/>
      <c r="AF273" s="12"/>
      <c r="AG273" s="17"/>
      <c r="AH273" s="17"/>
      <c r="AI273" s="17"/>
      <c r="AJ273" s="23"/>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c r="HS273" s="31"/>
      <c r="HT273" s="31"/>
      <c r="HU273" s="31"/>
      <c r="HV273" s="31"/>
      <c r="HW273" s="31"/>
      <c r="HX273" s="31"/>
      <c r="HY273" s="31"/>
      <c r="HZ273" s="31"/>
      <c r="IA273" s="31"/>
      <c r="IB273" s="31"/>
      <c r="IC273" s="31"/>
      <c r="ID273" s="31"/>
      <c r="IE273" s="31"/>
      <c r="IF273" s="31"/>
      <c r="IG273" s="31"/>
      <c r="IH273" s="31"/>
    </row>
    <row r="274" spans="1:35" s="41" customFormat="1" ht="48" customHeight="1">
      <c r="A274" s="298">
        <v>11</v>
      </c>
      <c r="B274" s="610" t="s">
        <v>129</v>
      </c>
      <c r="C274" s="544" t="s">
        <v>392</v>
      </c>
      <c r="D274" s="544"/>
      <c r="E274" s="544"/>
      <c r="F274" s="545"/>
      <c r="G274" s="546" t="s">
        <v>130</v>
      </c>
      <c r="H274" s="611">
        <v>104700</v>
      </c>
      <c r="I274" s="612">
        <v>28682</v>
      </c>
      <c r="J274" s="547"/>
      <c r="K274" s="547"/>
      <c r="L274" s="547"/>
      <c r="M274" s="613">
        <v>76018.456</v>
      </c>
      <c r="N274" s="613">
        <v>76018.456</v>
      </c>
      <c r="O274" s="549">
        <v>76018.456</v>
      </c>
      <c r="P274" s="549"/>
      <c r="Q274" s="549">
        <v>2000</v>
      </c>
      <c r="R274" s="547">
        <f>Q274</f>
        <v>2000</v>
      </c>
      <c r="S274" s="547"/>
      <c r="T274" s="547"/>
      <c r="U274" s="549">
        <f>I274-2000-2000</f>
        <v>24682</v>
      </c>
      <c r="V274" s="549">
        <f>U274</f>
        <v>24682</v>
      </c>
      <c r="W274" s="549">
        <f>49047-41765</f>
        <v>7282</v>
      </c>
      <c r="X274" s="549">
        <v>5000</v>
      </c>
      <c r="Y274" s="549">
        <f>X274</f>
        <v>5000</v>
      </c>
      <c r="Z274" s="549"/>
      <c r="AA274" s="165" t="s">
        <v>993</v>
      </c>
      <c r="AB274" s="36"/>
      <c r="AC274" s="36">
        <v>5958</v>
      </c>
      <c r="AD274" s="37"/>
      <c r="AE274" s="37">
        <f>(V274-X274)/3</f>
        <v>6560.666666666667</v>
      </c>
      <c r="AF274" s="37"/>
      <c r="AG274" s="37"/>
      <c r="AH274" s="24"/>
      <c r="AI274" s="35">
        <f>+X274-AC274</f>
        <v>-958</v>
      </c>
    </row>
    <row r="275" spans="1:38" s="41" customFormat="1" ht="37.5" customHeight="1">
      <c r="A275" s="298">
        <v>12</v>
      </c>
      <c r="B275" s="295" t="s">
        <v>131</v>
      </c>
      <c r="C275" s="54" t="s">
        <v>392</v>
      </c>
      <c r="D275" s="54"/>
      <c r="E275" s="54"/>
      <c r="F275" s="75"/>
      <c r="G275" s="75" t="s">
        <v>132</v>
      </c>
      <c r="H275" s="444">
        <v>7000</v>
      </c>
      <c r="I275" s="376">
        <f>H275</f>
        <v>7000</v>
      </c>
      <c r="J275" s="72"/>
      <c r="K275" s="72"/>
      <c r="L275" s="72"/>
      <c r="M275" s="72"/>
      <c r="N275" s="72"/>
      <c r="O275" s="72"/>
      <c r="P275" s="72"/>
      <c r="Q275" s="72">
        <v>2285</v>
      </c>
      <c r="R275" s="371"/>
      <c r="S275" s="72"/>
      <c r="T275" s="299"/>
      <c r="U275" s="343">
        <f>H275-Q275</f>
        <v>4715</v>
      </c>
      <c r="V275" s="343">
        <f>U275</f>
        <v>4715</v>
      </c>
      <c r="W275" s="343"/>
      <c r="X275" s="343">
        <v>3000</v>
      </c>
      <c r="Y275" s="343"/>
      <c r="Z275" s="343"/>
      <c r="AA275" s="37" t="s">
        <v>78</v>
      </c>
      <c r="AB275" s="163">
        <v>3000</v>
      </c>
      <c r="AC275" s="314">
        <f t="shared" si="38"/>
        <v>0</v>
      </c>
      <c r="AD275" s="36"/>
      <c r="AE275" s="36"/>
      <c r="AF275" s="36">
        <v>4715</v>
      </c>
      <c r="AG275" s="37"/>
      <c r="AH275" s="37">
        <f>V275-X275</f>
        <v>1715</v>
      </c>
      <c r="AI275" s="37"/>
      <c r="AJ275" s="37"/>
      <c r="AK275" s="24">
        <f>W275-Y275</f>
        <v>0</v>
      </c>
      <c r="AL275" s="35">
        <f>+X275-AF275</f>
        <v>-1715</v>
      </c>
    </row>
    <row r="276" spans="1:38" s="41" customFormat="1" ht="63.75" customHeight="1" hidden="1">
      <c r="A276" s="298">
        <v>13</v>
      </c>
      <c r="B276" s="77" t="s">
        <v>129</v>
      </c>
      <c r="C276" s="54" t="s">
        <v>392</v>
      </c>
      <c r="D276" s="54"/>
      <c r="E276" s="54"/>
      <c r="F276" s="75"/>
      <c r="G276" s="356" t="s">
        <v>130</v>
      </c>
      <c r="H276" s="299">
        <v>104700</v>
      </c>
      <c r="I276" s="371">
        <v>28682</v>
      </c>
      <c r="J276" s="72"/>
      <c r="K276" s="72"/>
      <c r="L276" s="72"/>
      <c r="M276" s="376">
        <v>76018.456</v>
      </c>
      <c r="N276" s="376">
        <v>76018.456</v>
      </c>
      <c r="O276" s="343">
        <v>76018.456</v>
      </c>
      <c r="P276" s="343"/>
      <c r="Q276" s="343">
        <v>2000</v>
      </c>
      <c r="R276" s="72">
        <f>Q276</f>
        <v>2000</v>
      </c>
      <c r="S276" s="72"/>
      <c r="T276" s="72"/>
      <c r="U276" s="343">
        <f>3000+23634</f>
        <v>26634</v>
      </c>
      <c r="V276" s="343">
        <f>U276</f>
        <v>26634</v>
      </c>
      <c r="W276" s="343"/>
      <c r="X276" s="343"/>
      <c r="Y276" s="343"/>
      <c r="Z276" s="343"/>
      <c r="AA276" s="37" t="s">
        <v>967</v>
      </c>
      <c r="AB276" s="163"/>
      <c r="AC276" s="314">
        <f t="shared" si="38"/>
        <v>0</v>
      </c>
      <c r="AD276" s="36"/>
      <c r="AE276" s="36"/>
      <c r="AF276" s="36">
        <v>5958</v>
      </c>
      <c r="AG276" s="37"/>
      <c r="AH276" s="37">
        <f>(V276-X276)/3</f>
        <v>8878</v>
      </c>
      <c r="AI276" s="37"/>
      <c r="AJ276" s="37"/>
      <c r="AK276" s="24"/>
      <c r="AL276" s="35">
        <f>+X276-AF276</f>
        <v>-5958</v>
      </c>
    </row>
    <row r="277" spans="1:39" s="41" customFormat="1" ht="44.25" customHeight="1">
      <c r="A277" s="298">
        <v>14</v>
      </c>
      <c r="B277" s="381" t="s">
        <v>133</v>
      </c>
      <c r="C277" s="54" t="s">
        <v>392</v>
      </c>
      <c r="D277" s="54"/>
      <c r="E277" s="54"/>
      <c r="F277" s="75"/>
      <c r="G277" s="378" t="s">
        <v>134</v>
      </c>
      <c r="H277" s="430">
        <v>24430</v>
      </c>
      <c r="I277" s="430">
        <v>15200</v>
      </c>
      <c r="J277" s="440" t="s">
        <v>135</v>
      </c>
      <c r="K277" s="430">
        <v>24430</v>
      </c>
      <c r="L277" s="430"/>
      <c r="M277" s="430">
        <v>9230</v>
      </c>
      <c r="N277" s="430">
        <v>9230</v>
      </c>
      <c r="O277" s="430">
        <v>9230</v>
      </c>
      <c r="P277" s="430"/>
      <c r="Q277" s="430"/>
      <c r="R277" s="430"/>
      <c r="S277" s="430"/>
      <c r="T277" s="430"/>
      <c r="U277" s="440">
        <v>15200</v>
      </c>
      <c r="V277" s="440">
        <f>U277</f>
        <v>15200</v>
      </c>
      <c r="W277" s="440">
        <v>1000</v>
      </c>
      <c r="X277" s="440">
        <v>2521</v>
      </c>
      <c r="Y277" s="440">
        <f>W277</f>
        <v>1000</v>
      </c>
      <c r="Z277" s="343"/>
      <c r="AA277" s="37" t="s">
        <v>746</v>
      </c>
      <c r="AB277" s="326">
        <v>5219</v>
      </c>
      <c r="AC277" s="326">
        <f t="shared" si="38"/>
        <v>-2698</v>
      </c>
      <c r="AD277" s="36"/>
      <c r="AE277" s="36"/>
      <c r="AF277" s="36">
        <v>2000</v>
      </c>
      <c r="AG277" s="37"/>
      <c r="AH277" s="37">
        <v>3500</v>
      </c>
      <c r="AI277" s="37"/>
      <c r="AJ277" s="37"/>
      <c r="AK277" s="24">
        <f>W277-Y277</f>
        <v>0</v>
      </c>
      <c r="AL277" s="35">
        <f>+X277-AF277</f>
        <v>521</v>
      </c>
      <c r="AM277" s="280" t="s">
        <v>790</v>
      </c>
    </row>
    <row r="278" spans="1:38" s="41" customFormat="1" ht="20.25" customHeight="1">
      <c r="A278" s="208"/>
      <c r="B278" s="43"/>
      <c r="C278" s="54"/>
      <c r="D278" s="54"/>
      <c r="E278" s="54"/>
      <c r="F278" s="75"/>
      <c r="G278" s="378"/>
      <c r="H278" s="376"/>
      <c r="I278" s="371"/>
      <c r="J278" s="379"/>
      <c r="K278" s="72"/>
      <c r="L278" s="72"/>
      <c r="M278" s="72"/>
      <c r="N278" s="72"/>
      <c r="O278" s="72"/>
      <c r="P278" s="72"/>
      <c r="Q278" s="72"/>
      <c r="R278" s="72"/>
      <c r="S278" s="72"/>
      <c r="T278" s="72"/>
      <c r="U278" s="343"/>
      <c r="V278" s="343"/>
      <c r="W278" s="343"/>
      <c r="X278" s="343"/>
      <c r="Y278" s="343"/>
      <c r="Z278" s="343"/>
      <c r="AA278" s="282"/>
      <c r="AB278" s="163"/>
      <c r="AC278" s="314">
        <f t="shared" si="38"/>
        <v>0</v>
      </c>
      <c r="AD278" s="281"/>
      <c r="AE278" s="281"/>
      <c r="AF278" s="281"/>
      <c r="AG278" s="282"/>
      <c r="AH278" s="37">
        <f>V278-X278</f>
        <v>0</v>
      </c>
      <c r="AI278" s="37"/>
      <c r="AJ278" s="37"/>
      <c r="AK278" s="24">
        <f>W278-Y278</f>
        <v>0</v>
      </c>
      <c r="AL278" s="35">
        <f>+X278-AF278</f>
        <v>0</v>
      </c>
    </row>
    <row r="279" spans="1:38" s="273" customFormat="1" ht="22.5" customHeight="1">
      <c r="A279" s="382" t="s">
        <v>50</v>
      </c>
      <c r="B279" s="351" t="s">
        <v>46</v>
      </c>
      <c r="C279" s="54"/>
      <c r="D279" s="361"/>
      <c r="E279" s="361"/>
      <c r="F279" s="75"/>
      <c r="G279" s="361"/>
      <c r="H279" s="275">
        <f aca="true" t="shared" si="46" ref="H279:Y279">SUM(H280:H292)</f>
        <v>70649</v>
      </c>
      <c r="I279" s="275">
        <f t="shared" si="46"/>
        <v>61804</v>
      </c>
      <c r="J279" s="275">
        <f t="shared" si="46"/>
        <v>0</v>
      </c>
      <c r="K279" s="275">
        <f t="shared" si="46"/>
        <v>0</v>
      </c>
      <c r="L279" s="275">
        <f t="shared" si="46"/>
        <v>0</v>
      </c>
      <c r="M279" s="275">
        <f t="shared" si="46"/>
        <v>29564</v>
      </c>
      <c r="N279" s="275">
        <f t="shared" si="46"/>
        <v>6718</v>
      </c>
      <c r="O279" s="275">
        <f t="shared" si="46"/>
        <v>29564</v>
      </c>
      <c r="P279" s="275">
        <f t="shared" si="46"/>
        <v>22846</v>
      </c>
      <c r="Q279" s="275">
        <f t="shared" si="46"/>
        <v>7023</v>
      </c>
      <c r="R279" s="275">
        <f t="shared" si="46"/>
        <v>0</v>
      </c>
      <c r="S279" s="275">
        <f t="shared" si="46"/>
        <v>0</v>
      </c>
      <c r="T279" s="275">
        <f t="shared" si="46"/>
        <v>0</v>
      </c>
      <c r="U279" s="275">
        <f t="shared" si="46"/>
        <v>31530.89</v>
      </c>
      <c r="V279" s="275">
        <f t="shared" si="46"/>
        <v>31530.89</v>
      </c>
      <c r="W279" s="275">
        <f t="shared" si="46"/>
        <v>5999.89</v>
      </c>
      <c r="X279" s="275">
        <f>SUM(X280:X292)</f>
        <v>21826.375</v>
      </c>
      <c r="Y279" s="275">
        <f t="shared" si="46"/>
        <v>7935.375</v>
      </c>
      <c r="Z279" s="275"/>
      <c r="AA279" s="33">
        <v>21825.60458412928</v>
      </c>
      <c r="AB279" s="316">
        <v>21825.575</v>
      </c>
      <c r="AC279" s="317">
        <f t="shared" si="38"/>
        <v>0.7999999999992724</v>
      </c>
      <c r="AD279" s="32"/>
      <c r="AE279" s="32"/>
      <c r="AF279" s="32">
        <v>20872.89</v>
      </c>
      <c r="AG279" s="33"/>
      <c r="AH279" s="37">
        <f>SUM(AH287:AH292)</f>
        <v>-654.8</v>
      </c>
      <c r="AI279" s="37">
        <f>X279-AH279</f>
        <v>22481.175</v>
      </c>
      <c r="AJ279" s="37"/>
      <c r="AK279" s="24">
        <f>X279-AA279</f>
        <v>0.7704158707201714</v>
      </c>
      <c r="AL279" s="35">
        <f>+X279-AF279</f>
        <v>953.4850000000006</v>
      </c>
    </row>
    <row r="280" spans="1:38" s="273" customFormat="1" ht="30" customHeight="1">
      <c r="A280" s="298">
        <v>1</v>
      </c>
      <c r="B280" s="420" t="s">
        <v>590</v>
      </c>
      <c r="C280" s="54"/>
      <c r="D280" s="361"/>
      <c r="E280" s="361"/>
      <c r="F280" s="75"/>
      <c r="G280" s="361"/>
      <c r="H280" s="275"/>
      <c r="I280" s="275"/>
      <c r="J280" s="275"/>
      <c r="K280" s="275"/>
      <c r="L280" s="275"/>
      <c r="M280" s="275"/>
      <c r="N280" s="275"/>
      <c r="O280" s="275"/>
      <c r="P280" s="275"/>
      <c r="Q280" s="275"/>
      <c r="R280" s="275"/>
      <c r="S280" s="275"/>
      <c r="T280" s="275"/>
      <c r="U280" s="275"/>
      <c r="V280" s="275"/>
      <c r="W280" s="275"/>
      <c r="X280" s="423">
        <v>2</v>
      </c>
      <c r="Y280" s="423">
        <v>2</v>
      </c>
      <c r="Z280" s="275"/>
      <c r="AA280" s="37" t="s">
        <v>520</v>
      </c>
      <c r="AB280" s="323">
        <v>2</v>
      </c>
      <c r="AC280" s="314">
        <f t="shared" si="38"/>
        <v>0</v>
      </c>
      <c r="AD280" s="36"/>
      <c r="AE280" s="36"/>
      <c r="AF280" s="32"/>
      <c r="AG280" s="33"/>
      <c r="AH280" s="37"/>
      <c r="AI280" s="37"/>
      <c r="AJ280" s="37"/>
      <c r="AK280" s="24"/>
      <c r="AL280" s="35"/>
    </row>
    <row r="281" spans="1:38" s="273" customFormat="1" ht="43.5" customHeight="1">
      <c r="A281" s="298">
        <v>2</v>
      </c>
      <c r="B281" s="390" t="s">
        <v>609</v>
      </c>
      <c r="C281" s="54"/>
      <c r="D281" s="361"/>
      <c r="E281" s="361"/>
      <c r="F281" s="75"/>
      <c r="G281" s="361"/>
      <c r="H281" s="275"/>
      <c r="I281" s="275"/>
      <c r="J281" s="275"/>
      <c r="K281" s="275"/>
      <c r="L281" s="275"/>
      <c r="M281" s="275"/>
      <c r="N281" s="275"/>
      <c r="O281" s="275"/>
      <c r="P281" s="275"/>
      <c r="Q281" s="275"/>
      <c r="R281" s="275"/>
      <c r="S281" s="275"/>
      <c r="T281" s="275"/>
      <c r="U281" s="275"/>
      <c r="V281" s="275"/>
      <c r="W281" s="275"/>
      <c r="X281" s="423">
        <v>58.15</v>
      </c>
      <c r="Y281" s="423">
        <f>X281</f>
        <v>58.15</v>
      </c>
      <c r="Z281" s="275"/>
      <c r="AA281" s="37" t="s">
        <v>520</v>
      </c>
      <c r="AB281" s="323">
        <v>58.15</v>
      </c>
      <c r="AC281" s="314">
        <f t="shared" si="38"/>
        <v>0</v>
      </c>
      <c r="AD281" s="36"/>
      <c r="AE281" s="36"/>
      <c r="AF281" s="32"/>
      <c r="AG281" s="33"/>
      <c r="AH281" s="37"/>
      <c r="AI281" s="37"/>
      <c r="AJ281" s="37"/>
      <c r="AK281" s="24"/>
      <c r="AL281" s="35"/>
    </row>
    <row r="282" spans="1:38" s="273" customFormat="1" ht="35.25" customHeight="1">
      <c r="A282" s="298">
        <v>3</v>
      </c>
      <c r="B282" s="399" t="s">
        <v>622</v>
      </c>
      <c r="C282" s="54"/>
      <c r="D282" s="361"/>
      <c r="E282" s="361"/>
      <c r="F282" s="75"/>
      <c r="G282" s="361"/>
      <c r="H282" s="275"/>
      <c r="I282" s="275"/>
      <c r="J282" s="275"/>
      <c r="K282" s="275"/>
      <c r="L282" s="275"/>
      <c r="M282" s="275"/>
      <c r="N282" s="275"/>
      <c r="O282" s="275"/>
      <c r="P282" s="275"/>
      <c r="Q282" s="275"/>
      <c r="R282" s="275"/>
      <c r="S282" s="275"/>
      <c r="T282" s="275"/>
      <c r="U282" s="275"/>
      <c r="V282" s="275"/>
      <c r="W282" s="275"/>
      <c r="X282" s="423">
        <v>17.791</v>
      </c>
      <c r="Y282" s="423">
        <f>X282</f>
        <v>17.791</v>
      </c>
      <c r="Z282" s="275"/>
      <c r="AA282" s="37" t="s">
        <v>520</v>
      </c>
      <c r="AB282" s="323">
        <v>17.791</v>
      </c>
      <c r="AC282" s="314">
        <f t="shared" si="38"/>
        <v>0</v>
      </c>
      <c r="AD282" s="36"/>
      <c r="AE282" s="36"/>
      <c r="AF282" s="32"/>
      <c r="AG282" s="33"/>
      <c r="AH282" s="37"/>
      <c r="AI282" s="37"/>
      <c r="AJ282" s="37"/>
      <c r="AK282" s="24"/>
      <c r="AL282" s="35"/>
    </row>
    <row r="283" spans="1:38" s="273" customFormat="1" ht="34.5" customHeight="1">
      <c r="A283" s="298">
        <v>4</v>
      </c>
      <c r="B283" s="390" t="s">
        <v>915</v>
      </c>
      <c r="C283" s="54"/>
      <c r="D283" s="361"/>
      <c r="E283" s="361"/>
      <c r="F283" s="75"/>
      <c r="G283" s="361"/>
      <c r="H283" s="275"/>
      <c r="I283" s="275"/>
      <c r="J283" s="275"/>
      <c r="K283" s="275"/>
      <c r="L283" s="275"/>
      <c r="M283" s="275"/>
      <c r="N283" s="275"/>
      <c r="O283" s="275"/>
      <c r="P283" s="275"/>
      <c r="Q283" s="275"/>
      <c r="R283" s="275"/>
      <c r="S283" s="275"/>
      <c r="T283" s="275"/>
      <c r="U283" s="275"/>
      <c r="V283" s="275"/>
      <c r="W283" s="275"/>
      <c r="X283" s="423">
        <v>50.834</v>
      </c>
      <c r="Y283" s="423">
        <f>X283</f>
        <v>50.834</v>
      </c>
      <c r="Z283" s="275"/>
      <c r="AA283" s="37" t="s">
        <v>520</v>
      </c>
      <c r="AB283" s="323">
        <v>50.834</v>
      </c>
      <c r="AC283" s="314">
        <f aca="true" t="shared" si="47" ref="AC283:AC346">+X283-AB283</f>
        <v>0</v>
      </c>
      <c r="AD283" s="36"/>
      <c r="AE283" s="36"/>
      <c r="AF283" s="32"/>
      <c r="AG283" s="33"/>
      <c r="AH283" s="37"/>
      <c r="AI283" s="37"/>
      <c r="AJ283" s="37"/>
      <c r="AK283" s="24"/>
      <c r="AL283" s="35"/>
    </row>
    <row r="284" spans="1:38" s="273" customFormat="1" ht="45">
      <c r="A284" s="298">
        <v>5</v>
      </c>
      <c r="B284" s="424" t="s">
        <v>902</v>
      </c>
      <c r="C284" s="54"/>
      <c r="D284" s="361"/>
      <c r="E284" s="361"/>
      <c r="F284" s="75"/>
      <c r="G284" s="361"/>
      <c r="H284" s="275"/>
      <c r="I284" s="275"/>
      <c r="J284" s="275"/>
      <c r="K284" s="275"/>
      <c r="L284" s="275"/>
      <c r="M284" s="275"/>
      <c r="N284" s="275"/>
      <c r="O284" s="275"/>
      <c r="P284" s="275"/>
      <c r="Q284" s="275"/>
      <c r="R284" s="275"/>
      <c r="S284" s="275"/>
      <c r="T284" s="275"/>
      <c r="U284" s="275"/>
      <c r="V284" s="275"/>
      <c r="W284" s="275"/>
      <c r="X284" s="423">
        <v>347.93</v>
      </c>
      <c r="Y284" s="423">
        <f>X284</f>
        <v>347.93</v>
      </c>
      <c r="Z284" s="275"/>
      <c r="AA284" s="37" t="s">
        <v>520</v>
      </c>
      <c r="AB284" s="323">
        <v>347.93</v>
      </c>
      <c r="AC284" s="314">
        <f t="shared" si="47"/>
        <v>0</v>
      </c>
      <c r="AD284" s="36"/>
      <c r="AE284" s="36"/>
      <c r="AF284" s="32"/>
      <c r="AG284" s="33"/>
      <c r="AH284" s="37"/>
      <c r="AI284" s="37"/>
      <c r="AJ284" s="37"/>
      <c r="AK284" s="24"/>
      <c r="AL284" s="35"/>
    </row>
    <row r="285" spans="1:38" s="273" customFormat="1" ht="45">
      <c r="A285" s="298">
        <v>6</v>
      </c>
      <c r="B285" s="424" t="s">
        <v>903</v>
      </c>
      <c r="C285" s="54"/>
      <c r="D285" s="361"/>
      <c r="E285" s="361"/>
      <c r="F285" s="75"/>
      <c r="G285" s="361"/>
      <c r="H285" s="275"/>
      <c r="I285" s="275"/>
      <c r="J285" s="275"/>
      <c r="K285" s="275"/>
      <c r="L285" s="275"/>
      <c r="M285" s="275"/>
      <c r="N285" s="275"/>
      <c r="O285" s="275"/>
      <c r="P285" s="275"/>
      <c r="Q285" s="275"/>
      <c r="R285" s="275"/>
      <c r="S285" s="275"/>
      <c r="T285" s="275"/>
      <c r="U285" s="275"/>
      <c r="V285" s="275"/>
      <c r="W285" s="275"/>
      <c r="X285" s="423">
        <v>10.98</v>
      </c>
      <c r="Y285" s="423">
        <f>X285</f>
        <v>10.98</v>
      </c>
      <c r="Z285" s="275"/>
      <c r="AA285" s="37" t="s">
        <v>520</v>
      </c>
      <c r="AB285" s="323">
        <v>10.98</v>
      </c>
      <c r="AC285" s="314">
        <f t="shared" si="47"/>
        <v>0</v>
      </c>
      <c r="AD285" s="36"/>
      <c r="AE285" s="36"/>
      <c r="AF285" s="32"/>
      <c r="AG285" s="33"/>
      <c r="AH285" s="37"/>
      <c r="AI285" s="37"/>
      <c r="AJ285" s="37"/>
      <c r="AK285" s="24"/>
      <c r="AL285" s="35"/>
    </row>
    <row r="286" spans="1:38" s="273" customFormat="1" ht="38.25">
      <c r="A286" s="298">
        <v>7</v>
      </c>
      <c r="B286" s="226" t="s">
        <v>675</v>
      </c>
      <c r="C286" s="54"/>
      <c r="D286" s="361"/>
      <c r="E286" s="361"/>
      <c r="F286" s="75"/>
      <c r="G286" s="229" t="s">
        <v>768</v>
      </c>
      <c r="H286" s="71">
        <v>2550</v>
      </c>
      <c r="I286" s="71">
        <v>621</v>
      </c>
      <c r="J286" s="275"/>
      <c r="K286" s="275"/>
      <c r="L286" s="275"/>
      <c r="M286" s="275"/>
      <c r="N286" s="275"/>
      <c r="O286" s="275"/>
      <c r="P286" s="275"/>
      <c r="Q286" s="275"/>
      <c r="R286" s="275"/>
      <c r="S286" s="275"/>
      <c r="T286" s="275"/>
      <c r="U286" s="391">
        <f>V286</f>
        <v>217</v>
      </c>
      <c r="V286" s="391">
        <v>217</v>
      </c>
      <c r="W286" s="71">
        <f>V286</f>
        <v>217</v>
      </c>
      <c r="X286" s="71">
        <f>Y286</f>
        <v>217</v>
      </c>
      <c r="Y286" s="215">
        <f>V286</f>
        <v>217</v>
      </c>
      <c r="Z286" s="275"/>
      <c r="AA286" s="37" t="s">
        <v>546</v>
      </c>
      <c r="AB286" s="164">
        <v>217</v>
      </c>
      <c r="AC286" s="164">
        <f t="shared" si="47"/>
        <v>0</v>
      </c>
      <c r="AD286" s="36">
        <f>X286</f>
        <v>217</v>
      </c>
      <c r="AE286" s="36"/>
      <c r="AF286" s="32"/>
      <c r="AG286" s="33"/>
      <c r="AH286" s="37"/>
      <c r="AI286" s="37"/>
      <c r="AJ286" s="37"/>
      <c r="AK286" s="24"/>
      <c r="AL286" s="35"/>
    </row>
    <row r="287" spans="1:38" s="41" customFormat="1" ht="31.5" customHeight="1">
      <c r="A287" s="298">
        <v>8</v>
      </c>
      <c r="B287" s="226" t="s">
        <v>951</v>
      </c>
      <c r="C287" s="54"/>
      <c r="D287" s="361"/>
      <c r="E287" s="361"/>
      <c r="F287" s="75"/>
      <c r="G287" s="229"/>
      <c r="H287" s="71"/>
      <c r="I287" s="71"/>
      <c r="J287" s="275"/>
      <c r="K287" s="275"/>
      <c r="L287" s="275"/>
      <c r="M287" s="275"/>
      <c r="N287" s="275"/>
      <c r="O287" s="275"/>
      <c r="P287" s="275"/>
      <c r="Q287" s="275"/>
      <c r="R287" s="275"/>
      <c r="S287" s="275"/>
      <c r="T287" s="275"/>
      <c r="U287" s="391"/>
      <c r="V287" s="391"/>
      <c r="W287" s="71"/>
      <c r="X287" s="71">
        <f>Y287</f>
        <v>94.4</v>
      </c>
      <c r="Y287" s="445">
        <v>94.4</v>
      </c>
      <c r="Z287" s="275"/>
      <c r="AA287" s="37" t="s">
        <v>952</v>
      </c>
      <c r="AB287" s="163">
        <v>94.4</v>
      </c>
      <c r="AC287" s="314">
        <f t="shared" si="47"/>
        <v>0</v>
      </c>
      <c r="AD287" s="36"/>
      <c r="AE287" s="36"/>
      <c r="AF287" s="36">
        <v>182.89000000000033</v>
      </c>
      <c r="AG287" s="37"/>
      <c r="AH287" s="37">
        <f>V287-X287</f>
        <v>-94.4</v>
      </c>
      <c r="AI287" s="37"/>
      <c r="AJ287" s="37"/>
      <c r="AK287" s="24">
        <f>W287-Y287</f>
        <v>-94.4</v>
      </c>
      <c r="AL287" s="35">
        <f>+X287-AF287</f>
        <v>-88.49000000000032</v>
      </c>
    </row>
    <row r="288" spans="1:38" s="263" customFormat="1" ht="36" customHeight="1">
      <c r="A288" s="298">
        <v>9</v>
      </c>
      <c r="B288" s="226" t="s">
        <v>953</v>
      </c>
      <c r="C288" s="54"/>
      <c r="D288" s="361"/>
      <c r="E288" s="361"/>
      <c r="F288" s="75"/>
      <c r="G288" s="229"/>
      <c r="H288" s="71"/>
      <c r="I288" s="71"/>
      <c r="J288" s="275"/>
      <c r="K288" s="275"/>
      <c r="L288" s="275"/>
      <c r="M288" s="275"/>
      <c r="N288" s="275"/>
      <c r="O288" s="275"/>
      <c r="P288" s="275"/>
      <c r="Q288" s="275"/>
      <c r="R288" s="275"/>
      <c r="S288" s="275"/>
      <c r="T288" s="275"/>
      <c r="U288" s="391"/>
      <c r="V288" s="391"/>
      <c r="W288" s="71"/>
      <c r="X288" s="71">
        <f>Y288</f>
        <v>560.4</v>
      </c>
      <c r="Y288" s="445">
        <v>560.4</v>
      </c>
      <c r="Z288" s="275"/>
      <c r="AA288" s="37" t="s">
        <v>952</v>
      </c>
      <c r="AB288" s="163">
        <v>560.4</v>
      </c>
      <c r="AC288" s="314">
        <f t="shared" si="47"/>
        <v>0</v>
      </c>
      <c r="AD288" s="36"/>
      <c r="AE288" s="36"/>
      <c r="AF288" s="36">
        <v>5600</v>
      </c>
      <c r="AG288" s="37"/>
      <c r="AH288" s="37">
        <f>V288-X288</f>
        <v>-560.4</v>
      </c>
      <c r="AI288" s="37"/>
      <c r="AJ288" s="37"/>
      <c r="AK288" s="24">
        <f>W288-Y288</f>
        <v>-560.4</v>
      </c>
      <c r="AL288" s="35">
        <f>+X288-AF288</f>
        <v>-5039.6</v>
      </c>
    </row>
    <row r="289" spans="1:38" s="263" customFormat="1" ht="39" customHeight="1">
      <c r="A289" s="298">
        <v>10</v>
      </c>
      <c r="B289" s="226" t="s">
        <v>954</v>
      </c>
      <c r="C289" s="54"/>
      <c r="D289" s="361"/>
      <c r="E289" s="361"/>
      <c r="F289" s="75"/>
      <c r="G289" s="229"/>
      <c r="H289" s="71"/>
      <c r="I289" s="71"/>
      <c r="J289" s="275"/>
      <c r="K289" s="275"/>
      <c r="L289" s="275"/>
      <c r="M289" s="275"/>
      <c r="N289" s="275"/>
      <c r="O289" s="275"/>
      <c r="P289" s="275"/>
      <c r="Q289" s="275"/>
      <c r="R289" s="275"/>
      <c r="S289" s="275"/>
      <c r="T289" s="275"/>
      <c r="U289" s="391"/>
      <c r="V289" s="391"/>
      <c r="W289" s="71"/>
      <c r="X289" s="71">
        <f>Y289</f>
        <v>793</v>
      </c>
      <c r="Y289" s="215">
        <v>793</v>
      </c>
      <c r="Z289" s="275"/>
      <c r="AA289" s="37" t="s">
        <v>952</v>
      </c>
      <c r="AB289" s="163">
        <v>793</v>
      </c>
      <c r="AC289" s="314">
        <f t="shared" si="47"/>
        <v>0</v>
      </c>
      <c r="AD289" s="36"/>
      <c r="AE289" s="36"/>
      <c r="AF289" s="36"/>
      <c r="AG289" s="37"/>
      <c r="AH289" s="37"/>
      <c r="AI289" s="37"/>
      <c r="AJ289" s="37"/>
      <c r="AK289" s="24"/>
      <c r="AL289" s="35"/>
    </row>
    <row r="290" spans="1:38" s="263" customFormat="1" ht="76.5">
      <c r="A290" s="298">
        <v>11</v>
      </c>
      <c r="B290" s="348" t="s">
        <v>108</v>
      </c>
      <c r="C290" s="54" t="s">
        <v>78</v>
      </c>
      <c r="D290" s="54"/>
      <c r="E290" s="54"/>
      <c r="F290" s="75"/>
      <c r="G290" s="26" t="s">
        <v>476</v>
      </c>
      <c r="H290" s="395">
        <v>7099</v>
      </c>
      <c r="I290" s="72">
        <v>183</v>
      </c>
      <c r="J290" s="72"/>
      <c r="K290" s="72"/>
      <c r="L290" s="72"/>
      <c r="M290" s="72">
        <v>6718</v>
      </c>
      <c r="N290" s="72">
        <v>6718</v>
      </c>
      <c r="O290" s="395">
        <v>6718</v>
      </c>
      <c r="P290" s="72"/>
      <c r="Q290" s="72"/>
      <c r="R290" s="72"/>
      <c r="S290" s="72"/>
      <c r="T290" s="72"/>
      <c r="U290" s="343">
        <v>182.89000000000033</v>
      </c>
      <c r="V290" s="343">
        <f aca="true" t="shared" si="48" ref="V290:Y291">U290</f>
        <v>182.89000000000033</v>
      </c>
      <c r="W290" s="343">
        <f t="shared" si="48"/>
        <v>182.89000000000033</v>
      </c>
      <c r="X290" s="343">
        <f t="shared" si="48"/>
        <v>182.89000000000033</v>
      </c>
      <c r="Y290" s="343">
        <f t="shared" si="48"/>
        <v>182.89000000000033</v>
      </c>
      <c r="Z290" s="343"/>
      <c r="AA290" s="37" t="s">
        <v>961</v>
      </c>
      <c r="AB290" s="163">
        <v>182.89000000000033</v>
      </c>
      <c r="AC290" s="314">
        <f t="shared" si="47"/>
        <v>0</v>
      </c>
      <c r="AD290" s="36"/>
      <c r="AE290" s="36"/>
      <c r="AF290" s="36"/>
      <c r="AG290" s="37"/>
      <c r="AH290" s="37"/>
      <c r="AI290" s="37"/>
      <c r="AJ290" s="37"/>
      <c r="AK290" s="24"/>
      <c r="AL290" s="35"/>
    </row>
    <row r="291" spans="1:38" s="263" customFormat="1" ht="51">
      <c r="A291" s="298">
        <v>12</v>
      </c>
      <c r="B291" s="359" t="s">
        <v>109</v>
      </c>
      <c r="C291" s="54" t="s">
        <v>78</v>
      </c>
      <c r="D291" s="54"/>
      <c r="E291" s="54"/>
      <c r="F291" s="75"/>
      <c r="G291" s="356" t="s">
        <v>110</v>
      </c>
      <c r="H291" s="299">
        <v>14000</v>
      </c>
      <c r="I291" s="371">
        <f>H291</f>
        <v>14000</v>
      </c>
      <c r="J291" s="72"/>
      <c r="K291" s="72"/>
      <c r="L291" s="72"/>
      <c r="M291" s="371">
        <v>5400</v>
      </c>
      <c r="N291" s="72"/>
      <c r="O291" s="299">
        <v>5400</v>
      </c>
      <c r="P291" s="371">
        <f>O291</f>
        <v>5400</v>
      </c>
      <c r="Q291" s="371">
        <v>3000</v>
      </c>
      <c r="R291" s="371"/>
      <c r="S291" s="72"/>
      <c r="T291" s="371"/>
      <c r="U291" s="343">
        <v>5600</v>
      </c>
      <c r="V291" s="343">
        <f t="shared" si="48"/>
        <v>5600</v>
      </c>
      <c r="W291" s="343">
        <f t="shared" si="48"/>
        <v>5600</v>
      </c>
      <c r="X291" s="343">
        <f t="shared" si="48"/>
        <v>5600</v>
      </c>
      <c r="Y291" s="343">
        <f t="shared" si="48"/>
        <v>5600</v>
      </c>
      <c r="Z291" s="343"/>
      <c r="AA291" s="37" t="s">
        <v>364</v>
      </c>
      <c r="AB291" s="163">
        <v>5600</v>
      </c>
      <c r="AC291" s="314">
        <f t="shared" si="47"/>
        <v>0</v>
      </c>
      <c r="AD291" s="36"/>
      <c r="AE291" s="36"/>
      <c r="AF291" s="36"/>
      <c r="AG291" s="37"/>
      <c r="AH291" s="37"/>
      <c r="AI291" s="37"/>
      <c r="AJ291" s="37"/>
      <c r="AK291" s="24"/>
      <c r="AL291" s="35"/>
    </row>
    <row r="292" spans="1:38" s="263" customFormat="1" ht="38.25">
      <c r="A292" s="298">
        <v>13</v>
      </c>
      <c r="B292" s="295" t="s">
        <v>354</v>
      </c>
      <c r="C292" s="54" t="s">
        <v>78</v>
      </c>
      <c r="D292" s="54"/>
      <c r="E292" s="54"/>
      <c r="F292" s="75" t="s">
        <v>342</v>
      </c>
      <c r="G292" s="356" t="s">
        <v>107</v>
      </c>
      <c r="H292" s="299">
        <f>32348+14652</f>
        <v>47000</v>
      </c>
      <c r="I292" s="371">
        <f>H292</f>
        <v>47000</v>
      </c>
      <c r="J292" s="72"/>
      <c r="K292" s="72"/>
      <c r="L292" s="72"/>
      <c r="M292" s="371">
        <v>17446</v>
      </c>
      <c r="N292" s="72"/>
      <c r="O292" s="371">
        <v>17446</v>
      </c>
      <c r="P292" s="371">
        <f>O292</f>
        <v>17446</v>
      </c>
      <c r="Q292" s="371">
        <v>4023</v>
      </c>
      <c r="R292" s="371"/>
      <c r="S292" s="72"/>
      <c r="T292" s="371"/>
      <c r="U292" s="343">
        <f>H292-M292-Q292</f>
        <v>25531</v>
      </c>
      <c r="V292" s="343">
        <f>U292</f>
        <v>25531</v>
      </c>
      <c r="W292" s="343"/>
      <c r="X292" s="343">
        <f>13891</f>
        <v>13891</v>
      </c>
      <c r="Y292" s="343"/>
      <c r="Z292" s="343">
        <f>X292</f>
        <v>13891</v>
      </c>
      <c r="AA292" s="37" t="s">
        <v>78</v>
      </c>
      <c r="AB292" s="163">
        <v>13891</v>
      </c>
      <c r="AC292" s="314">
        <f t="shared" si="47"/>
        <v>0</v>
      </c>
      <c r="AD292" s="36">
        <f>+X292</f>
        <v>13891</v>
      </c>
      <c r="AE292" s="36"/>
      <c r="AF292" s="36"/>
      <c r="AG292" s="37"/>
      <c r="AH292" s="37"/>
      <c r="AI292" s="37"/>
      <c r="AJ292" s="37"/>
      <c r="AK292" s="24"/>
      <c r="AL292" s="35"/>
    </row>
    <row r="293" spans="1:38" s="263" customFormat="1" ht="11.25" customHeight="1">
      <c r="A293" s="76"/>
      <c r="B293" s="359"/>
      <c r="C293" s="54"/>
      <c r="D293" s="54"/>
      <c r="E293" s="54"/>
      <c r="F293" s="75"/>
      <c r="G293" s="356"/>
      <c r="H293" s="299"/>
      <c r="I293" s="72"/>
      <c r="J293" s="72"/>
      <c r="K293" s="72"/>
      <c r="L293" s="72"/>
      <c r="M293" s="371"/>
      <c r="N293" s="72"/>
      <c r="O293" s="299"/>
      <c r="P293" s="72"/>
      <c r="Q293" s="371"/>
      <c r="R293" s="371"/>
      <c r="S293" s="72"/>
      <c r="T293" s="371"/>
      <c r="U293" s="343"/>
      <c r="V293" s="343"/>
      <c r="W293" s="343"/>
      <c r="X293" s="343"/>
      <c r="Y293" s="343"/>
      <c r="Z293" s="343"/>
      <c r="AA293" s="37"/>
      <c r="AB293" s="163"/>
      <c r="AC293" s="314">
        <f t="shared" si="47"/>
        <v>0</v>
      </c>
      <c r="AD293" s="36"/>
      <c r="AE293" s="36"/>
      <c r="AF293" s="36"/>
      <c r="AG293" s="37"/>
      <c r="AH293" s="37">
        <f>V293-X293</f>
        <v>0</v>
      </c>
      <c r="AI293" s="37"/>
      <c r="AJ293" s="37"/>
      <c r="AK293" s="24">
        <f>W293-Y293</f>
        <v>0</v>
      </c>
      <c r="AL293" s="35">
        <f>+X293-AF293</f>
        <v>0</v>
      </c>
    </row>
    <row r="294" spans="1:38" s="273" customFormat="1" ht="26.25" customHeight="1">
      <c r="A294" s="382" t="s">
        <v>51</v>
      </c>
      <c r="B294" s="351" t="s">
        <v>42</v>
      </c>
      <c r="C294" s="54"/>
      <c r="D294" s="361"/>
      <c r="E294" s="361"/>
      <c r="F294" s="75"/>
      <c r="G294" s="34"/>
      <c r="H294" s="275">
        <f aca="true" t="shared" si="49" ref="H294:W294">SUM(H298:H300)</f>
        <v>183537</v>
      </c>
      <c r="I294" s="275">
        <f t="shared" si="49"/>
        <v>58255</v>
      </c>
      <c r="J294" s="275">
        <f t="shared" si="49"/>
        <v>0</v>
      </c>
      <c r="K294" s="275">
        <f t="shared" si="49"/>
        <v>0</v>
      </c>
      <c r="L294" s="275">
        <f t="shared" si="49"/>
        <v>85000</v>
      </c>
      <c r="M294" s="275">
        <f t="shared" si="49"/>
        <v>34080</v>
      </c>
      <c r="N294" s="275">
        <f t="shared" si="49"/>
        <v>34080</v>
      </c>
      <c r="O294" s="275">
        <f t="shared" si="49"/>
        <v>46080</v>
      </c>
      <c r="P294" s="275">
        <f t="shared" si="49"/>
        <v>22000</v>
      </c>
      <c r="Q294" s="275">
        <f t="shared" si="49"/>
        <v>20860</v>
      </c>
      <c r="R294" s="275">
        <f t="shared" si="49"/>
        <v>15920</v>
      </c>
      <c r="S294" s="275">
        <f t="shared" si="49"/>
        <v>0</v>
      </c>
      <c r="T294" s="275">
        <f t="shared" si="49"/>
        <v>15920</v>
      </c>
      <c r="U294" s="275">
        <f t="shared" si="49"/>
        <v>36118</v>
      </c>
      <c r="V294" s="275">
        <f t="shared" si="49"/>
        <v>33118</v>
      </c>
      <c r="W294" s="275">
        <f t="shared" si="49"/>
        <v>33118</v>
      </c>
      <c r="X294" s="275">
        <f>SUM(X295:X301)</f>
        <v>29487</v>
      </c>
      <c r="Y294" s="275">
        <f>SUM(Y298:Y300)</f>
        <v>24500</v>
      </c>
      <c r="Z294" s="275"/>
      <c r="AA294" s="33">
        <v>29486.603190697995</v>
      </c>
      <c r="AB294" s="316">
        <v>29487</v>
      </c>
      <c r="AC294" s="317">
        <f t="shared" si="47"/>
        <v>0</v>
      </c>
      <c r="AD294" s="32"/>
      <c r="AE294" s="32"/>
      <c r="AF294" s="32">
        <v>25735</v>
      </c>
      <c r="AG294" s="33"/>
      <c r="AH294" s="275">
        <f>SUM(AH298:AH300)</f>
        <v>5000</v>
      </c>
      <c r="AI294" s="275">
        <f>X294-AH294</f>
        <v>24487</v>
      </c>
      <c r="AJ294" s="275"/>
      <c r="AK294" s="24">
        <f>X294-AA294</f>
        <v>0.39680930200484</v>
      </c>
      <c r="AL294" s="35">
        <f>+X294-AF294</f>
        <v>3752</v>
      </c>
    </row>
    <row r="295" spans="1:38" s="273" customFormat="1" ht="38.25">
      <c r="A295" s="298">
        <v>1</v>
      </c>
      <c r="B295" s="390" t="s">
        <v>595</v>
      </c>
      <c r="C295" s="54"/>
      <c r="D295" s="361"/>
      <c r="E295" s="361"/>
      <c r="F295" s="75"/>
      <c r="G295" s="34"/>
      <c r="H295" s="275"/>
      <c r="I295" s="275"/>
      <c r="J295" s="275"/>
      <c r="K295" s="275"/>
      <c r="L295" s="275"/>
      <c r="M295" s="275"/>
      <c r="N295" s="275"/>
      <c r="O295" s="275"/>
      <c r="P295" s="275"/>
      <c r="Q295" s="275"/>
      <c r="R295" s="275"/>
      <c r="S295" s="275"/>
      <c r="T295" s="275"/>
      <c r="U295" s="275"/>
      <c r="V295" s="275"/>
      <c r="W295" s="275"/>
      <c r="X295" s="423">
        <v>17</v>
      </c>
      <c r="Y295" s="423">
        <f>X295</f>
        <v>17</v>
      </c>
      <c r="Z295" s="275"/>
      <c r="AA295" s="37" t="s">
        <v>520</v>
      </c>
      <c r="AB295" s="323">
        <v>17</v>
      </c>
      <c r="AC295" s="314">
        <f t="shared" si="47"/>
        <v>0</v>
      </c>
      <c r="AD295" s="36"/>
      <c r="AE295" s="36"/>
      <c r="AF295" s="32"/>
      <c r="AG295" s="33"/>
      <c r="AH295" s="275"/>
      <c r="AI295" s="275"/>
      <c r="AJ295" s="275"/>
      <c r="AK295" s="24"/>
      <c r="AL295" s="35"/>
    </row>
    <row r="296" spans="1:38" s="273" customFormat="1" ht="38.25">
      <c r="A296" s="298">
        <v>2</v>
      </c>
      <c r="B296" s="390" t="s">
        <v>810</v>
      </c>
      <c r="C296" s="54"/>
      <c r="D296" s="361"/>
      <c r="E296" s="361"/>
      <c r="F296" s="75"/>
      <c r="G296" s="34"/>
      <c r="H296" s="275"/>
      <c r="I296" s="275"/>
      <c r="J296" s="275"/>
      <c r="K296" s="275"/>
      <c r="L296" s="275"/>
      <c r="M296" s="275"/>
      <c r="N296" s="275"/>
      <c r="O296" s="275"/>
      <c r="P296" s="275"/>
      <c r="Q296" s="275"/>
      <c r="R296" s="275"/>
      <c r="S296" s="275"/>
      <c r="T296" s="275"/>
      <c r="U296" s="275"/>
      <c r="V296" s="275"/>
      <c r="W296" s="275"/>
      <c r="X296" s="423">
        <v>664</v>
      </c>
      <c r="Y296" s="423">
        <f>X296</f>
        <v>664</v>
      </c>
      <c r="Z296" s="275"/>
      <c r="AA296" s="37" t="s">
        <v>520</v>
      </c>
      <c r="AB296" s="323">
        <v>664</v>
      </c>
      <c r="AC296" s="314">
        <f t="shared" si="47"/>
        <v>0</v>
      </c>
      <c r="AD296" s="36"/>
      <c r="AE296" s="36"/>
      <c r="AF296" s="32"/>
      <c r="AG296" s="33"/>
      <c r="AH296" s="275"/>
      <c r="AI296" s="275"/>
      <c r="AJ296" s="275"/>
      <c r="AK296" s="24"/>
      <c r="AL296" s="35"/>
    </row>
    <row r="297" spans="1:38" s="273" customFormat="1" ht="38.25">
      <c r="A297" s="298">
        <v>3</v>
      </c>
      <c r="B297" s="388" t="s">
        <v>596</v>
      </c>
      <c r="C297" s="54"/>
      <c r="D297" s="361"/>
      <c r="E297" s="361"/>
      <c r="F297" s="75"/>
      <c r="G297" s="361"/>
      <c r="H297" s="422"/>
      <c r="I297" s="275"/>
      <c r="J297" s="275"/>
      <c r="K297" s="275"/>
      <c r="L297" s="275"/>
      <c r="M297" s="275"/>
      <c r="N297" s="275"/>
      <c r="O297" s="275"/>
      <c r="P297" s="275"/>
      <c r="Q297" s="275"/>
      <c r="R297" s="275"/>
      <c r="S297" s="275"/>
      <c r="T297" s="275"/>
      <c r="U297" s="275"/>
      <c r="V297" s="275"/>
      <c r="W297" s="275"/>
      <c r="X297" s="423">
        <v>7</v>
      </c>
      <c r="Y297" s="423">
        <v>7</v>
      </c>
      <c r="Z297" s="275"/>
      <c r="AA297" s="37" t="s">
        <v>520</v>
      </c>
      <c r="AB297" s="323">
        <v>7</v>
      </c>
      <c r="AC297" s="314">
        <f t="shared" si="47"/>
        <v>0</v>
      </c>
      <c r="AD297" s="36"/>
      <c r="AE297" s="36"/>
      <c r="AF297" s="32"/>
      <c r="AG297" s="33"/>
      <c r="AH297" s="37"/>
      <c r="AI297" s="37"/>
      <c r="AJ297" s="37"/>
      <c r="AK297" s="24"/>
      <c r="AL297" s="35"/>
    </row>
    <row r="298" spans="1:243" ht="63.75">
      <c r="A298" s="298">
        <v>4</v>
      </c>
      <c r="B298" s="359" t="s">
        <v>195</v>
      </c>
      <c r="C298" s="26" t="s">
        <v>237</v>
      </c>
      <c r="D298" s="26"/>
      <c r="E298" s="26"/>
      <c r="F298" s="75" t="s">
        <v>22</v>
      </c>
      <c r="G298" s="365" t="s">
        <v>196</v>
      </c>
      <c r="H298" s="380">
        <v>92137</v>
      </c>
      <c r="I298" s="380">
        <f>H298-50000</f>
        <v>42137</v>
      </c>
      <c r="J298" s="71"/>
      <c r="K298" s="71"/>
      <c r="L298" s="71">
        <v>85000</v>
      </c>
      <c r="M298" s="71">
        <v>34080</v>
      </c>
      <c r="N298" s="71">
        <v>34080</v>
      </c>
      <c r="O298" s="71">
        <v>40080</v>
      </c>
      <c r="P298" s="71">
        <v>16000</v>
      </c>
      <c r="Q298" s="380">
        <f>R298+1940</f>
        <v>17860</v>
      </c>
      <c r="R298" s="380">
        <v>15920</v>
      </c>
      <c r="S298" s="380"/>
      <c r="T298" s="380">
        <f>R298</f>
        <v>15920</v>
      </c>
      <c r="U298" s="380">
        <v>23000</v>
      </c>
      <c r="V298" s="380">
        <f>U298</f>
        <v>23000</v>
      </c>
      <c r="W298" s="71">
        <f>V298</f>
        <v>23000</v>
      </c>
      <c r="X298" s="71">
        <f>15000+3000</f>
        <v>18000</v>
      </c>
      <c r="Y298" s="71">
        <f>X298</f>
        <v>18000</v>
      </c>
      <c r="Z298" s="71"/>
      <c r="AA298" s="37" t="s">
        <v>933</v>
      </c>
      <c r="AB298" s="164">
        <v>15000</v>
      </c>
      <c r="AC298" s="164">
        <f t="shared" si="47"/>
        <v>3000</v>
      </c>
      <c r="AD298" s="36"/>
      <c r="AE298" s="36"/>
      <c r="AF298" s="36">
        <v>24000</v>
      </c>
      <c r="AG298" s="37"/>
      <c r="AH298" s="37">
        <f>V298-X298</f>
        <v>5000</v>
      </c>
      <c r="AI298" s="37"/>
      <c r="AJ298" s="37"/>
      <c r="AK298" s="24">
        <f>W298-Y298</f>
        <v>5000</v>
      </c>
      <c r="AL298" s="35">
        <f>+X298-AF298</f>
        <v>-6000</v>
      </c>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c r="HS298" s="31"/>
      <c r="HT298" s="31"/>
      <c r="HU298" s="31"/>
      <c r="HV298" s="31"/>
      <c r="HW298" s="31"/>
      <c r="HX298" s="31"/>
      <c r="HY298" s="31"/>
      <c r="HZ298" s="31"/>
      <c r="IA298" s="31"/>
      <c r="IB298" s="31"/>
      <c r="IC298" s="31"/>
      <c r="ID298" s="31"/>
      <c r="IE298" s="31"/>
      <c r="IF298" s="31"/>
      <c r="IG298" s="31"/>
      <c r="IH298" s="31"/>
      <c r="II298" s="31"/>
    </row>
    <row r="299" spans="1:38" s="41" customFormat="1" ht="65.25" customHeight="1">
      <c r="A299" s="298">
        <v>5</v>
      </c>
      <c r="B299" s="359" t="s">
        <v>506</v>
      </c>
      <c r="C299" s="26" t="s">
        <v>237</v>
      </c>
      <c r="D299" s="75"/>
      <c r="E299" s="75"/>
      <c r="F299" s="75"/>
      <c r="G299" s="365" t="s">
        <v>507</v>
      </c>
      <c r="H299" s="380">
        <v>5500</v>
      </c>
      <c r="I299" s="380">
        <v>2500</v>
      </c>
      <c r="J299" s="379"/>
      <c r="K299" s="350"/>
      <c r="L299" s="72"/>
      <c r="M299" s="380"/>
      <c r="N299" s="380"/>
      <c r="O299" s="380"/>
      <c r="P299" s="380"/>
      <c r="Q299" s="380">
        <v>3000</v>
      </c>
      <c r="R299" s="380"/>
      <c r="S299" s="380"/>
      <c r="T299" s="380"/>
      <c r="U299" s="380">
        <v>5500</v>
      </c>
      <c r="V299" s="380">
        <v>2500</v>
      </c>
      <c r="W299" s="343">
        <f>V299</f>
        <v>2500</v>
      </c>
      <c r="X299" s="343">
        <f>V299</f>
        <v>2500</v>
      </c>
      <c r="Y299" s="343">
        <f>X299</f>
        <v>2500</v>
      </c>
      <c r="Z299" s="343"/>
      <c r="AA299" s="37" t="s">
        <v>972</v>
      </c>
      <c r="AB299" s="163">
        <v>2500</v>
      </c>
      <c r="AC299" s="314">
        <f t="shared" si="47"/>
        <v>0</v>
      </c>
      <c r="AD299" s="36"/>
      <c r="AE299" s="36"/>
      <c r="AF299" s="36">
        <v>1000</v>
      </c>
      <c r="AG299" s="37"/>
      <c r="AH299" s="37">
        <f>(V299-X299)/2</f>
        <v>0</v>
      </c>
      <c r="AI299" s="37"/>
      <c r="AJ299" s="37"/>
      <c r="AK299" s="24">
        <f>X299</f>
        <v>2500</v>
      </c>
      <c r="AL299" s="35">
        <f>+X299-AF299</f>
        <v>1500</v>
      </c>
    </row>
    <row r="300" spans="1:38" s="41" customFormat="1" ht="92.25" customHeight="1">
      <c r="A300" s="298">
        <v>6</v>
      </c>
      <c r="B300" s="359" t="s">
        <v>635</v>
      </c>
      <c r="C300" s="26"/>
      <c r="D300" s="75"/>
      <c r="E300" s="75"/>
      <c r="F300" s="75"/>
      <c r="G300" s="365" t="s">
        <v>636</v>
      </c>
      <c r="H300" s="380">
        <v>85900</v>
      </c>
      <c r="I300" s="380">
        <f>O300+U300</f>
        <v>13618</v>
      </c>
      <c r="J300" s="379"/>
      <c r="K300" s="350"/>
      <c r="L300" s="72"/>
      <c r="M300" s="380"/>
      <c r="N300" s="380"/>
      <c r="O300" s="380">
        <v>6000</v>
      </c>
      <c r="P300" s="380">
        <f>O300</f>
        <v>6000</v>
      </c>
      <c r="Q300" s="380"/>
      <c r="R300" s="380"/>
      <c r="S300" s="380"/>
      <c r="T300" s="380"/>
      <c r="U300" s="380">
        <v>7618</v>
      </c>
      <c r="V300" s="380">
        <f>U300</f>
        <v>7618</v>
      </c>
      <c r="W300" s="343">
        <f>V300</f>
        <v>7618</v>
      </c>
      <c r="X300" s="343">
        <v>4000</v>
      </c>
      <c r="Y300" s="343">
        <f>X300</f>
        <v>4000</v>
      </c>
      <c r="Z300" s="343"/>
      <c r="AA300" s="37" t="s">
        <v>637</v>
      </c>
      <c r="AB300" s="163">
        <v>4000</v>
      </c>
      <c r="AC300" s="314">
        <f t="shared" si="47"/>
        <v>0</v>
      </c>
      <c r="AD300" s="36"/>
      <c r="AE300" s="36"/>
      <c r="AF300" s="36"/>
      <c r="AG300" s="37"/>
      <c r="AH300" s="37"/>
      <c r="AI300" s="37"/>
      <c r="AJ300" s="37"/>
      <c r="AK300" s="24"/>
      <c r="AL300" s="35"/>
    </row>
    <row r="301" spans="1:38" s="263" customFormat="1" ht="59.25" customHeight="1">
      <c r="A301" s="298">
        <v>7</v>
      </c>
      <c r="B301" s="346" t="s">
        <v>274</v>
      </c>
      <c r="C301" s="26"/>
      <c r="D301" s="54"/>
      <c r="E301" s="54"/>
      <c r="F301" s="75"/>
      <c r="G301" s="447" t="s">
        <v>734</v>
      </c>
      <c r="H301" s="448">
        <v>12922</v>
      </c>
      <c r="I301" s="380">
        <f>H301</f>
        <v>12922</v>
      </c>
      <c r="J301" s="72"/>
      <c r="K301" s="72"/>
      <c r="L301" s="72"/>
      <c r="M301" s="371"/>
      <c r="N301" s="72"/>
      <c r="O301" s="299"/>
      <c r="P301" s="72"/>
      <c r="Q301" s="380">
        <f>I301</f>
        <v>12922</v>
      </c>
      <c r="R301" s="380"/>
      <c r="S301" s="380"/>
      <c r="T301" s="380"/>
      <c r="U301" s="380">
        <f>Q301</f>
        <v>12922</v>
      </c>
      <c r="V301" s="380">
        <f>U301</f>
        <v>12922</v>
      </c>
      <c r="W301" s="343"/>
      <c r="X301" s="343">
        <f>4500-201</f>
        <v>4299</v>
      </c>
      <c r="Y301" s="343"/>
      <c r="Z301" s="343"/>
      <c r="AA301" s="37" t="s">
        <v>752</v>
      </c>
      <c r="AB301" s="163">
        <v>4299</v>
      </c>
      <c r="AC301" s="314">
        <f t="shared" si="47"/>
        <v>0</v>
      </c>
      <c r="AD301" s="36"/>
      <c r="AE301" s="36"/>
      <c r="AF301" s="36"/>
      <c r="AG301" s="37"/>
      <c r="AH301" s="37"/>
      <c r="AI301" s="37"/>
      <c r="AJ301" s="37"/>
      <c r="AK301" s="24"/>
      <c r="AL301" s="35"/>
    </row>
    <row r="302" spans="1:38" s="263" customFormat="1" ht="16.5" customHeight="1">
      <c r="A302" s="76"/>
      <c r="B302" s="390"/>
      <c r="C302" s="54"/>
      <c r="D302" s="54"/>
      <c r="E302" s="54"/>
      <c r="F302" s="75"/>
      <c r="G302" s="227"/>
      <c r="H302" s="296"/>
      <c r="I302" s="72"/>
      <c r="J302" s="72"/>
      <c r="K302" s="72"/>
      <c r="L302" s="72"/>
      <c r="M302" s="371"/>
      <c r="N302" s="72"/>
      <c r="O302" s="299"/>
      <c r="P302" s="72"/>
      <c r="Q302" s="371"/>
      <c r="R302" s="371"/>
      <c r="S302" s="72"/>
      <c r="T302" s="371"/>
      <c r="U302" s="343"/>
      <c r="V302" s="343"/>
      <c r="W302" s="343"/>
      <c r="X302" s="343"/>
      <c r="Y302" s="343"/>
      <c r="Z302" s="343"/>
      <c r="AA302" s="37"/>
      <c r="AB302" s="163"/>
      <c r="AC302" s="314">
        <f t="shared" si="47"/>
        <v>0</v>
      </c>
      <c r="AD302" s="36"/>
      <c r="AE302" s="36"/>
      <c r="AF302" s="36"/>
      <c r="AG302" s="37"/>
      <c r="AH302" s="37">
        <f>V302-X302</f>
        <v>0</v>
      </c>
      <c r="AI302" s="37"/>
      <c r="AJ302" s="37"/>
      <c r="AK302" s="24">
        <f>W302-Y302</f>
        <v>0</v>
      </c>
      <c r="AL302" s="35">
        <f>+X302-AF302</f>
        <v>0</v>
      </c>
    </row>
    <row r="303" spans="1:38" s="272" customFormat="1" ht="20.25" customHeight="1">
      <c r="A303" s="449" t="s">
        <v>52</v>
      </c>
      <c r="B303" s="351" t="s">
        <v>58</v>
      </c>
      <c r="C303" s="361"/>
      <c r="D303" s="361"/>
      <c r="E303" s="361"/>
      <c r="F303" s="75"/>
      <c r="G303" s="358"/>
      <c r="H303" s="275">
        <v>0</v>
      </c>
      <c r="I303" s="275">
        <f aca="true" t="shared" si="50" ref="I303:W303">I304+I306</f>
        <v>0</v>
      </c>
      <c r="J303" s="275">
        <f t="shared" si="50"/>
        <v>0</v>
      </c>
      <c r="K303" s="275">
        <f t="shared" si="50"/>
        <v>0</v>
      </c>
      <c r="L303" s="275">
        <f t="shared" si="50"/>
        <v>0</v>
      </c>
      <c r="M303" s="275">
        <f t="shared" si="50"/>
        <v>0</v>
      </c>
      <c r="N303" s="275">
        <f t="shared" si="50"/>
        <v>0</v>
      </c>
      <c r="O303" s="275">
        <f t="shared" si="50"/>
        <v>0</v>
      </c>
      <c r="P303" s="275">
        <f t="shared" si="50"/>
        <v>0</v>
      </c>
      <c r="Q303" s="275">
        <f t="shared" si="50"/>
        <v>0</v>
      </c>
      <c r="R303" s="275">
        <f t="shared" si="50"/>
        <v>0</v>
      </c>
      <c r="S303" s="275">
        <f t="shared" si="50"/>
        <v>0</v>
      </c>
      <c r="T303" s="275">
        <f t="shared" si="50"/>
        <v>0</v>
      </c>
      <c r="U303" s="275">
        <f t="shared" si="50"/>
        <v>50948.402</v>
      </c>
      <c r="V303" s="275">
        <f t="shared" si="50"/>
        <v>50948.402</v>
      </c>
      <c r="W303" s="275">
        <f t="shared" si="50"/>
        <v>0</v>
      </c>
      <c r="X303" s="275">
        <f>X304+X306</f>
        <v>11133.402</v>
      </c>
      <c r="Y303" s="450">
        <f>Y304+Y305</f>
        <v>35.402</v>
      </c>
      <c r="Z303" s="275"/>
      <c r="AA303" s="33"/>
      <c r="AB303" s="316">
        <v>11133.402</v>
      </c>
      <c r="AC303" s="317">
        <f t="shared" si="47"/>
        <v>0</v>
      </c>
      <c r="AD303" s="32"/>
      <c r="AE303" s="32"/>
      <c r="AF303" s="32">
        <v>7696</v>
      </c>
      <c r="AG303" s="33"/>
      <c r="AH303" s="275">
        <f>AH305</f>
        <v>12500</v>
      </c>
      <c r="AI303" s="37">
        <f>AH303</f>
        <v>12500</v>
      </c>
      <c r="AJ303" s="37"/>
      <c r="AK303" s="24">
        <f>X303-AA303</f>
        <v>11133.402</v>
      </c>
      <c r="AL303" s="35">
        <f>+X303-AF303</f>
        <v>3437.402</v>
      </c>
    </row>
    <row r="304" spans="1:38" s="272" customFormat="1" ht="45" customHeight="1">
      <c r="A304" s="76">
        <v>1</v>
      </c>
      <c r="B304" s="388" t="s">
        <v>624</v>
      </c>
      <c r="C304" s="361"/>
      <c r="D304" s="361"/>
      <c r="E304" s="361"/>
      <c r="F304" s="75"/>
      <c r="G304" s="358"/>
      <c r="H304" s="451"/>
      <c r="I304" s="70"/>
      <c r="J304" s="70"/>
      <c r="K304" s="70"/>
      <c r="L304" s="70"/>
      <c r="M304" s="398"/>
      <c r="N304" s="70"/>
      <c r="O304" s="451"/>
      <c r="P304" s="70"/>
      <c r="Q304" s="398"/>
      <c r="R304" s="398"/>
      <c r="S304" s="70"/>
      <c r="T304" s="398"/>
      <c r="U304" s="450">
        <v>35.402</v>
      </c>
      <c r="V304" s="450">
        <f>U304</f>
        <v>35.402</v>
      </c>
      <c r="W304" s="275"/>
      <c r="X304" s="450">
        <v>35.402</v>
      </c>
      <c r="Y304" s="450">
        <f>X304</f>
        <v>35.402</v>
      </c>
      <c r="Z304" s="275"/>
      <c r="AA304" s="37" t="s">
        <v>520</v>
      </c>
      <c r="AB304" s="327">
        <v>35.402</v>
      </c>
      <c r="AC304" s="320">
        <f t="shared" si="47"/>
        <v>0</v>
      </c>
      <c r="AD304" s="36"/>
      <c r="AE304" s="36"/>
      <c r="AF304" s="32"/>
      <c r="AG304" s="33"/>
      <c r="AH304" s="275"/>
      <c r="AI304" s="37"/>
      <c r="AJ304" s="37"/>
      <c r="AK304" s="24"/>
      <c r="AL304" s="35"/>
    </row>
    <row r="305" spans="1:38" s="272" customFormat="1" ht="25.5" customHeight="1">
      <c r="A305" s="449"/>
      <c r="B305" s="351" t="s">
        <v>337</v>
      </c>
      <c r="C305" s="361"/>
      <c r="D305" s="361"/>
      <c r="E305" s="361"/>
      <c r="F305" s="75"/>
      <c r="G305" s="358" t="s">
        <v>59</v>
      </c>
      <c r="H305" s="451"/>
      <c r="I305" s="70"/>
      <c r="J305" s="70"/>
      <c r="K305" s="70"/>
      <c r="L305" s="70"/>
      <c r="M305" s="398"/>
      <c r="N305" s="70"/>
      <c r="O305" s="451"/>
      <c r="P305" s="70"/>
      <c r="Q305" s="398"/>
      <c r="R305" s="398"/>
      <c r="S305" s="70"/>
      <c r="T305" s="398"/>
      <c r="U305" s="275"/>
      <c r="V305" s="275"/>
      <c r="W305" s="275"/>
      <c r="X305" s="275"/>
      <c r="Y305" s="275">
        <f>Y306</f>
        <v>0</v>
      </c>
      <c r="Z305" s="275"/>
      <c r="AA305" s="33"/>
      <c r="AB305" s="316"/>
      <c r="AC305" s="317">
        <f t="shared" si="47"/>
        <v>0</v>
      </c>
      <c r="AD305" s="32"/>
      <c r="AE305" s="32"/>
      <c r="AF305" s="32">
        <v>7696</v>
      </c>
      <c r="AG305" s="33"/>
      <c r="AH305" s="275">
        <f>AH306</f>
        <v>12500</v>
      </c>
      <c r="AI305" s="275"/>
      <c r="AJ305" s="275"/>
      <c r="AK305" s="24">
        <f>W305-Y305</f>
        <v>0</v>
      </c>
      <c r="AL305" s="35">
        <f>+X305-AF305</f>
        <v>-7696</v>
      </c>
    </row>
    <row r="306" spans="1:38" s="263" customFormat="1" ht="36.75" customHeight="1">
      <c r="A306" s="76">
        <v>2</v>
      </c>
      <c r="B306" s="346" t="s">
        <v>522</v>
      </c>
      <c r="C306" s="298" t="s">
        <v>523</v>
      </c>
      <c r="D306" s="54"/>
      <c r="E306" s="54">
        <f>A306</f>
        <v>2</v>
      </c>
      <c r="F306" s="75" t="s">
        <v>236</v>
      </c>
      <c r="G306" s="356"/>
      <c r="H306" s="299"/>
      <c r="I306" s="371"/>
      <c r="J306" s="72"/>
      <c r="K306" s="72"/>
      <c r="L306" s="72"/>
      <c r="M306" s="72"/>
      <c r="N306" s="72"/>
      <c r="O306" s="72"/>
      <c r="P306" s="72"/>
      <c r="Q306" s="72"/>
      <c r="R306" s="72"/>
      <c r="S306" s="72"/>
      <c r="T306" s="72"/>
      <c r="U306" s="343">
        <v>50913</v>
      </c>
      <c r="V306" s="343">
        <f>U306</f>
        <v>50913</v>
      </c>
      <c r="W306" s="343"/>
      <c r="X306" s="343">
        <v>11098</v>
      </c>
      <c r="Y306" s="343"/>
      <c r="Z306" s="343"/>
      <c r="AA306" s="37"/>
      <c r="AB306" s="163">
        <v>11098</v>
      </c>
      <c r="AC306" s="314">
        <f t="shared" si="47"/>
        <v>0</v>
      </c>
      <c r="AD306" s="36"/>
      <c r="AE306" s="36"/>
      <c r="AF306" s="36">
        <v>7696</v>
      </c>
      <c r="AG306" s="37"/>
      <c r="AH306" s="37">
        <v>12500</v>
      </c>
      <c r="AI306" s="37"/>
      <c r="AJ306" s="37"/>
      <c r="AK306" s="24">
        <f>X306</f>
        <v>11098</v>
      </c>
      <c r="AL306" s="35">
        <f>+X306-AF306</f>
        <v>3402</v>
      </c>
    </row>
    <row r="307" spans="1:38" s="263" customFormat="1" ht="12" customHeight="1">
      <c r="A307" s="76"/>
      <c r="B307" s="452"/>
      <c r="C307" s="54"/>
      <c r="D307" s="54"/>
      <c r="E307" s="54"/>
      <c r="F307" s="75"/>
      <c r="G307" s="356"/>
      <c r="H307" s="299"/>
      <c r="I307" s="371"/>
      <c r="J307" s="72"/>
      <c r="K307" s="72"/>
      <c r="L307" s="72"/>
      <c r="M307" s="72"/>
      <c r="N307" s="72"/>
      <c r="O307" s="72"/>
      <c r="P307" s="72"/>
      <c r="Q307" s="72"/>
      <c r="R307" s="72"/>
      <c r="S307" s="72"/>
      <c r="T307" s="72"/>
      <c r="U307" s="343"/>
      <c r="V307" s="343"/>
      <c r="W307" s="343"/>
      <c r="X307" s="343"/>
      <c r="Y307" s="343"/>
      <c r="Z307" s="343"/>
      <c r="AA307" s="37"/>
      <c r="AB307" s="163"/>
      <c r="AC307" s="314">
        <f t="shared" si="47"/>
        <v>0</v>
      </c>
      <c r="AD307" s="36"/>
      <c r="AE307" s="36"/>
      <c r="AF307" s="36"/>
      <c r="AG307" s="37"/>
      <c r="AH307" s="37"/>
      <c r="AI307" s="283"/>
      <c r="AJ307" s="283"/>
      <c r="AK307" s="24"/>
      <c r="AL307" s="35">
        <f>+X307-AF307</f>
        <v>0</v>
      </c>
    </row>
    <row r="308" spans="1:38" s="272" customFormat="1" ht="20.25" customHeight="1">
      <c r="A308" s="449" t="s">
        <v>326</v>
      </c>
      <c r="B308" s="453" t="s">
        <v>323</v>
      </c>
      <c r="C308" s="361"/>
      <c r="D308" s="361"/>
      <c r="E308" s="361"/>
      <c r="F308" s="75"/>
      <c r="G308" s="358"/>
      <c r="H308" s="275">
        <f aca="true" t="shared" si="51" ref="H308:Y308">SUM(H309:H317)</f>
        <v>173891</v>
      </c>
      <c r="I308" s="275">
        <f t="shared" si="51"/>
        <v>93291</v>
      </c>
      <c r="J308" s="275">
        <f t="shared" si="51"/>
        <v>35000</v>
      </c>
      <c r="K308" s="275">
        <f t="shared" si="51"/>
        <v>0</v>
      </c>
      <c r="L308" s="275">
        <f t="shared" si="51"/>
        <v>0</v>
      </c>
      <c r="M308" s="275">
        <f t="shared" si="51"/>
        <v>67341</v>
      </c>
      <c r="N308" s="275">
        <f t="shared" si="51"/>
        <v>0</v>
      </c>
      <c r="O308" s="275">
        <f t="shared" si="51"/>
        <v>68841</v>
      </c>
      <c r="P308" s="275">
        <f t="shared" si="51"/>
        <v>0</v>
      </c>
      <c r="Q308" s="275">
        <f t="shared" si="51"/>
        <v>23446</v>
      </c>
      <c r="R308" s="275">
        <f t="shared" si="51"/>
        <v>16000</v>
      </c>
      <c r="S308" s="275">
        <f t="shared" si="51"/>
        <v>0</v>
      </c>
      <c r="T308" s="275">
        <f t="shared" si="51"/>
        <v>0</v>
      </c>
      <c r="U308" s="275">
        <f t="shared" si="51"/>
        <v>81610.45</v>
      </c>
      <c r="V308" s="275">
        <f t="shared" si="51"/>
        <v>53510.45</v>
      </c>
      <c r="W308" s="275">
        <f t="shared" si="51"/>
        <v>22611.45</v>
      </c>
      <c r="X308" s="275">
        <f t="shared" si="51"/>
        <v>30115.45</v>
      </c>
      <c r="Y308" s="275">
        <f t="shared" si="51"/>
        <v>18260.45</v>
      </c>
      <c r="Z308" s="275"/>
      <c r="AA308" s="33">
        <v>30115</v>
      </c>
      <c r="AB308" s="316">
        <v>30115.45</v>
      </c>
      <c r="AC308" s="317">
        <f t="shared" si="47"/>
        <v>0</v>
      </c>
      <c r="AD308" s="32"/>
      <c r="AE308" s="32"/>
      <c r="AF308" s="32">
        <v>17450</v>
      </c>
      <c r="AG308" s="33"/>
      <c r="AH308" s="275">
        <f>SUM(AH310:AH318)</f>
        <v>23395</v>
      </c>
      <c r="AI308" s="264">
        <f>X308-AH308</f>
        <v>6720.450000000001</v>
      </c>
      <c r="AJ308" s="284"/>
      <c r="AK308" s="24">
        <f>X308-AA308</f>
        <v>0.4500000000007276</v>
      </c>
      <c r="AL308" s="35">
        <f>+X308-AF308</f>
        <v>12665.45</v>
      </c>
    </row>
    <row r="309" spans="1:38" s="272" customFormat="1" ht="46.5" customHeight="1">
      <c r="A309" s="76">
        <v>1</v>
      </c>
      <c r="B309" s="424" t="s">
        <v>904</v>
      </c>
      <c r="C309" s="361"/>
      <c r="D309" s="361"/>
      <c r="E309" s="361"/>
      <c r="F309" s="75"/>
      <c r="G309" s="358"/>
      <c r="H309" s="275"/>
      <c r="I309" s="275"/>
      <c r="J309" s="275"/>
      <c r="K309" s="275"/>
      <c r="L309" s="275"/>
      <c r="M309" s="275"/>
      <c r="N309" s="275"/>
      <c r="O309" s="275"/>
      <c r="P309" s="275"/>
      <c r="Q309" s="275"/>
      <c r="R309" s="275"/>
      <c r="S309" s="275"/>
      <c r="T309" s="275"/>
      <c r="U309" s="454">
        <v>10.45</v>
      </c>
      <c r="V309" s="454">
        <f>U309</f>
        <v>10.45</v>
      </c>
      <c r="W309" s="454">
        <f>V309</f>
        <v>10.45</v>
      </c>
      <c r="X309" s="454">
        <f>W309</f>
        <v>10.45</v>
      </c>
      <c r="Y309" s="454">
        <f>X309</f>
        <v>10.45</v>
      </c>
      <c r="Z309" s="275"/>
      <c r="AA309" s="37" t="s">
        <v>520</v>
      </c>
      <c r="AB309" s="328">
        <v>10.45</v>
      </c>
      <c r="AC309" s="317">
        <f t="shared" si="47"/>
        <v>0</v>
      </c>
      <c r="AD309" s="36"/>
      <c r="AE309" s="36"/>
      <c r="AF309" s="32"/>
      <c r="AG309" s="33"/>
      <c r="AH309" s="275"/>
      <c r="AI309" s="284"/>
      <c r="AJ309" s="284"/>
      <c r="AK309" s="24"/>
      <c r="AL309" s="35"/>
    </row>
    <row r="310" spans="1:38" s="263" customFormat="1" ht="48.75" customHeight="1">
      <c r="A310" s="76">
        <v>2</v>
      </c>
      <c r="B310" s="359" t="s">
        <v>280</v>
      </c>
      <c r="C310" s="54" t="s">
        <v>289</v>
      </c>
      <c r="D310" s="54"/>
      <c r="E310" s="54"/>
      <c r="F310" s="75"/>
      <c r="G310" s="356" t="s">
        <v>170</v>
      </c>
      <c r="H310" s="299">
        <v>3700</v>
      </c>
      <c r="I310" s="299">
        <v>2200</v>
      </c>
      <c r="J310" s="299"/>
      <c r="K310" s="299"/>
      <c r="L310" s="299"/>
      <c r="M310" s="299"/>
      <c r="N310" s="299"/>
      <c r="O310" s="299">
        <v>1500</v>
      </c>
      <c r="P310" s="72"/>
      <c r="Q310" s="72">
        <v>850</v>
      </c>
      <c r="R310" s="72"/>
      <c r="S310" s="72"/>
      <c r="T310" s="72"/>
      <c r="U310" s="343">
        <v>1350</v>
      </c>
      <c r="V310" s="343">
        <f>U310</f>
        <v>1350</v>
      </c>
      <c r="W310" s="343">
        <f>V310</f>
        <v>1350</v>
      </c>
      <c r="X310" s="343">
        <f>V310</f>
        <v>1350</v>
      </c>
      <c r="Y310" s="343">
        <f>X310</f>
        <v>1350</v>
      </c>
      <c r="Z310" s="343"/>
      <c r="AA310" s="37" t="s">
        <v>364</v>
      </c>
      <c r="AB310" s="163">
        <v>1350</v>
      </c>
      <c r="AC310" s="314">
        <f t="shared" si="47"/>
        <v>0</v>
      </c>
      <c r="AD310" s="36"/>
      <c r="AE310" s="36"/>
      <c r="AF310" s="36">
        <v>2850</v>
      </c>
      <c r="AG310" s="37"/>
      <c r="AH310" s="37">
        <f aca="true" t="shared" si="52" ref="AH310:AH315">V310-X310</f>
        <v>0</v>
      </c>
      <c r="AI310" s="37"/>
      <c r="AJ310" s="37"/>
      <c r="AK310" s="24">
        <f aca="true" t="shared" si="53" ref="AK310:AK315">W310-Y310</f>
        <v>0</v>
      </c>
      <c r="AL310" s="35">
        <f aca="true" t="shared" si="54" ref="AL310:AL322">+X310-AF310</f>
        <v>-1500</v>
      </c>
    </row>
    <row r="311" spans="1:38" s="263" customFormat="1" ht="45.75" customHeight="1">
      <c r="A311" s="76">
        <v>3</v>
      </c>
      <c r="B311" s="359" t="s">
        <v>171</v>
      </c>
      <c r="C311" s="54" t="s">
        <v>289</v>
      </c>
      <c r="D311" s="54"/>
      <c r="E311" s="54"/>
      <c r="F311" s="75"/>
      <c r="G311" s="356" t="s">
        <v>172</v>
      </c>
      <c r="H311" s="299">
        <v>8000</v>
      </c>
      <c r="I311" s="299">
        <f>H311</f>
        <v>8000</v>
      </c>
      <c r="J311" s="299"/>
      <c r="K311" s="299"/>
      <c r="L311" s="299"/>
      <c r="M311" s="299">
        <v>2000</v>
      </c>
      <c r="N311" s="299"/>
      <c r="O311" s="299">
        <v>2000</v>
      </c>
      <c r="P311" s="72"/>
      <c r="Q311" s="72">
        <v>1096</v>
      </c>
      <c r="R311" s="72"/>
      <c r="S311" s="72"/>
      <c r="T311" s="72"/>
      <c r="U311" s="343">
        <v>4900</v>
      </c>
      <c r="V311" s="343">
        <f>U311</f>
        <v>4900</v>
      </c>
      <c r="W311" s="343">
        <f>V311</f>
        <v>4900</v>
      </c>
      <c r="X311" s="343">
        <f>V311</f>
        <v>4900</v>
      </c>
      <c r="Y311" s="343">
        <f>X311</f>
        <v>4900</v>
      </c>
      <c r="Z311" s="343"/>
      <c r="AA311" s="37" t="s">
        <v>364</v>
      </c>
      <c r="AB311" s="163">
        <v>4900</v>
      </c>
      <c r="AC311" s="314">
        <f t="shared" si="47"/>
        <v>0</v>
      </c>
      <c r="AD311" s="36"/>
      <c r="AE311" s="36"/>
      <c r="AF311" s="36">
        <v>3900</v>
      </c>
      <c r="AG311" s="37"/>
      <c r="AH311" s="37">
        <f t="shared" si="52"/>
        <v>0</v>
      </c>
      <c r="AI311" s="37"/>
      <c r="AJ311" s="37"/>
      <c r="AK311" s="24">
        <f t="shared" si="53"/>
        <v>0</v>
      </c>
      <c r="AL311" s="35">
        <f t="shared" si="54"/>
        <v>1000</v>
      </c>
    </row>
    <row r="312" spans="1:38" s="263" customFormat="1" ht="59.25" customHeight="1">
      <c r="A312" s="76">
        <v>4</v>
      </c>
      <c r="B312" s="346" t="s">
        <v>298</v>
      </c>
      <c r="C312" s="54" t="s">
        <v>289</v>
      </c>
      <c r="D312" s="54"/>
      <c r="E312" s="54"/>
      <c r="F312" s="75"/>
      <c r="G312" s="356"/>
      <c r="H312" s="299">
        <v>12000</v>
      </c>
      <c r="I312" s="299">
        <f>H312</f>
        <v>12000</v>
      </c>
      <c r="J312" s="299"/>
      <c r="K312" s="299"/>
      <c r="L312" s="299"/>
      <c r="M312" s="299">
        <f>6500+3500</f>
        <v>10000</v>
      </c>
      <c r="N312" s="299"/>
      <c r="O312" s="299">
        <f>M312</f>
        <v>10000</v>
      </c>
      <c r="P312" s="72"/>
      <c r="Q312" s="72"/>
      <c r="R312" s="72"/>
      <c r="S312" s="72"/>
      <c r="T312" s="72"/>
      <c r="U312" s="343">
        <v>2000</v>
      </c>
      <c r="V312" s="343">
        <f>U312</f>
        <v>2000</v>
      </c>
      <c r="W312" s="343"/>
      <c r="X312" s="343">
        <v>2000</v>
      </c>
      <c r="Y312" s="343"/>
      <c r="Z312" s="343"/>
      <c r="AA312" s="37" t="s">
        <v>364</v>
      </c>
      <c r="AB312" s="163">
        <v>2000</v>
      </c>
      <c r="AC312" s="314">
        <f>+X312-AB312</f>
        <v>0</v>
      </c>
      <c r="AD312" s="36"/>
      <c r="AE312" s="36"/>
      <c r="AF312" s="36">
        <v>2000</v>
      </c>
      <c r="AG312" s="37"/>
      <c r="AH312" s="37">
        <f>V312-X312</f>
        <v>0</v>
      </c>
      <c r="AI312" s="37"/>
      <c r="AJ312" s="37"/>
      <c r="AK312" s="24">
        <f>W312-Y312</f>
        <v>0</v>
      </c>
      <c r="AL312" s="35">
        <f>+X312-AF312</f>
        <v>0</v>
      </c>
    </row>
    <row r="313" spans="1:38" s="263" customFormat="1" ht="107.25" customHeight="1">
      <c r="A313" s="76">
        <v>5</v>
      </c>
      <c r="B313" s="359" t="s">
        <v>168</v>
      </c>
      <c r="C313" s="54" t="s">
        <v>289</v>
      </c>
      <c r="D313" s="54"/>
      <c r="E313" s="54"/>
      <c r="F313" s="75"/>
      <c r="G313" s="455" t="s">
        <v>169</v>
      </c>
      <c r="H313" s="299">
        <v>44000</v>
      </c>
      <c r="I313" s="371">
        <f>H313</f>
        <v>44000</v>
      </c>
      <c r="J313" s="72"/>
      <c r="K313" s="72"/>
      <c r="L313" s="72"/>
      <c r="M313" s="72">
        <v>20341</v>
      </c>
      <c r="N313" s="72"/>
      <c r="O313" s="299">
        <v>20341</v>
      </c>
      <c r="P313" s="72"/>
      <c r="Q313" s="299">
        <v>4000</v>
      </c>
      <c r="R313" s="72"/>
      <c r="S313" s="72"/>
      <c r="T313" s="72"/>
      <c r="U313" s="343">
        <f>H313-M313-Q313</f>
        <v>19659</v>
      </c>
      <c r="V313" s="343">
        <f>U313</f>
        <v>19659</v>
      </c>
      <c r="W313" s="343">
        <v>5000</v>
      </c>
      <c r="X313" s="343">
        <v>8355</v>
      </c>
      <c r="Y313" s="343">
        <v>5000</v>
      </c>
      <c r="Z313" s="343"/>
      <c r="AA313" s="37" t="s">
        <v>78</v>
      </c>
      <c r="AB313" s="163">
        <v>8500</v>
      </c>
      <c r="AC313" s="314">
        <f t="shared" si="47"/>
        <v>-145</v>
      </c>
      <c r="AD313" s="36"/>
      <c r="AE313" s="36"/>
      <c r="AF313" s="36">
        <v>5000</v>
      </c>
      <c r="AG313" s="37"/>
      <c r="AH313" s="37">
        <f t="shared" si="52"/>
        <v>11304</v>
      </c>
      <c r="AI313" s="37"/>
      <c r="AJ313" s="37"/>
      <c r="AK313" s="24">
        <f t="shared" si="53"/>
        <v>0</v>
      </c>
      <c r="AL313" s="35">
        <f t="shared" si="54"/>
        <v>3355</v>
      </c>
    </row>
    <row r="314" spans="1:38" s="41" customFormat="1" ht="52.5" customHeight="1">
      <c r="A314" s="76">
        <v>6</v>
      </c>
      <c r="B314" s="452" t="s">
        <v>284</v>
      </c>
      <c r="C314" s="26" t="s">
        <v>237</v>
      </c>
      <c r="D314" s="456"/>
      <c r="E314" s="456"/>
      <c r="F314" s="75" t="s">
        <v>224</v>
      </c>
      <c r="G314" s="75" t="s">
        <v>285</v>
      </c>
      <c r="H314" s="299">
        <v>46351</v>
      </c>
      <c r="I314" s="299">
        <v>11351</v>
      </c>
      <c r="J314" s="299">
        <v>35000</v>
      </c>
      <c r="K314" s="299"/>
      <c r="L314" s="299"/>
      <c r="M314" s="299">
        <v>35000</v>
      </c>
      <c r="N314" s="299"/>
      <c r="O314" s="299">
        <f>M314</f>
        <v>35000</v>
      </c>
      <c r="P314" s="72"/>
      <c r="Q314" s="300"/>
      <c r="R314" s="72"/>
      <c r="S314" s="72"/>
      <c r="T314" s="72"/>
      <c r="U314" s="366">
        <v>11351</v>
      </c>
      <c r="V314" s="366">
        <f>U314</f>
        <v>11351</v>
      </c>
      <c r="W314" s="366">
        <f>V314</f>
        <v>11351</v>
      </c>
      <c r="X314" s="366">
        <v>7000</v>
      </c>
      <c r="Y314" s="366">
        <f>X314</f>
        <v>7000</v>
      </c>
      <c r="Z314" s="366"/>
      <c r="AA314" s="13" t="s">
        <v>370</v>
      </c>
      <c r="AB314" s="163">
        <v>7355</v>
      </c>
      <c r="AC314" s="314">
        <f t="shared" si="47"/>
        <v>-355</v>
      </c>
      <c r="AD314" s="42"/>
      <c r="AE314" s="42"/>
      <c r="AF314" s="42">
        <v>3249</v>
      </c>
      <c r="AG314" s="13"/>
      <c r="AH314" s="37">
        <f t="shared" si="52"/>
        <v>4351</v>
      </c>
      <c r="AI314" s="37"/>
      <c r="AJ314" s="37"/>
      <c r="AK314" s="24">
        <f t="shared" si="53"/>
        <v>4351</v>
      </c>
      <c r="AL314" s="35">
        <f t="shared" si="54"/>
        <v>3751</v>
      </c>
    </row>
    <row r="315" spans="1:243" ht="54" customHeight="1">
      <c r="A315" s="76">
        <v>7</v>
      </c>
      <c r="B315" s="295" t="s">
        <v>65</v>
      </c>
      <c r="C315" s="26" t="s">
        <v>237</v>
      </c>
      <c r="D315" s="26"/>
      <c r="E315" s="26"/>
      <c r="F315" s="75" t="s">
        <v>197</v>
      </c>
      <c r="G315" s="75" t="s">
        <v>396</v>
      </c>
      <c r="H315" s="299">
        <v>49000</v>
      </c>
      <c r="I315" s="299">
        <v>4900</v>
      </c>
      <c r="J315" s="299"/>
      <c r="K315" s="299"/>
      <c r="L315" s="299"/>
      <c r="M315" s="299"/>
      <c r="N315" s="299"/>
      <c r="O315" s="299"/>
      <c r="P315" s="71"/>
      <c r="Q315" s="71">
        <f>16000+1500</f>
        <v>17500</v>
      </c>
      <c r="R315" s="71">
        <v>16000</v>
      </c>
      <c r="S315" s="71"/>
      <c r="T315" s="71"/>
      <c r="U315" s="71">
        <f>H315-Q315</f>
        <v>31500</v>
      </c>
      <c r="V315" s="71">
        <v>3400</v>
      </c>
      <c r="W315" s="71"/>
      <c r="X315" s="71">
        <v>2000</v>
      </c>
      <c r="Y315" s="71"/>
      <c r="Z315" s="71"/>
      <c r="AA315" s="13" t="s">
        <v>814</v>
      </c>
      <c r="AB315" s="164">
        <v>2000</v>
      </c>
      <c r="AC315" s="164">
        <f t="shared" si="47"/>
        <v>0</v>
      </c>
      <c r="AD315" s="42"/>
      <c r="AE315" s="42"/>
      <c r="AF315" s="42">
        <v>1000</v>
      </c>
      <c r="AG315" s="13"/>
      <c r="AH315" s="37">
        <f t="shared" si="52"/>
        <v>1400</v>
      </c>
      <c r="AI315" s="37"/>
      <c r="AJ315" s="37"/>
      <c r="AK315" s="24">
        <f t="shared" si="53"/>
        <v>0</v>
      </c>
      <c r="AL315" s="35">
        <f t="shared" si="54"/>
        <v>1000</v>
      </c>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c r="HN315" s="31"/>
      <c r="HO315" s="31"/>
      <c r="HP315" s="31"/>
      <c r="HQ315" s="31"/>
      <c r="HR315" s="31"/>
      <c r="HS315" s="31"/>
      <c r="HT315" s="31"/>
      <c r="HU315" s="31"/>
      <c r="HV315" s="31"/>
      <c r="HW315" s="31"/>
      <c r="HX315" s="31"/>
      <c r="HY315" s="31"/>
      <c r="HZ315" s="31"/>
      <c r="IA315" s="31"/>
      <c r="IB315" s="31"/>
      <c r="IC315" s="31"/>
      <c r="ID315" s="31"/>
      <c r="IE315" s="31"/>
      <c r="IF315" s="31"/>
      <c r="IG315" s="31"/>
      <c r="IH315" s="31"/>
      <c r="II315" s="31"/>
    </row>
    <row r="316" spans="1:38" s="263" customFormat="1" ht="42" customHeight="1">
      <c r="A316" s="76">
        <v>8</v>
      </c>
      <c r="B316" s="359" t="s">
        <v>905</v>
      </c>
      <c r="C316" s="54" t="s">
        <v>289</v>
      </c>
      <c r="D316" s="54"/>
      <c r="E316" s="54"/>
      <c r="F316" s="75"/>
      <c r="G316" s="356"/>
      <c r="H316" s="299">
        <v>8840</v>
      </c>
      <c r="I316" s="371">
        <f>H316</f>
        <v>8840</v>
      </c>
      <c r="J316" s="72"/>
      <c r="K316" s="72"/>
      <c r="L316" s="72"/>
      <c r="M316" s="299"/>
      <c r="N316" s="72"/>
      <c r="O316" s="371"/>
      <c r="P316" s="72"/>
      <c r="Q316" s="72"/>
      <c r="R316" s="72"/>
      <c r="S316" s="72"/>
      <c r="T316" s="72"/>
      <c r="U316" s="299">
        <v>8840</v>
      </c>
      <c r="V316" s="371">
        <f>U316</f>
        <v>8840</v>
      </c>
      <c r="W316" s="343"/>
      <c r="X316" s="343">
        <v>3500</v>
      </c>
      <c r="Y316" s="343"/>
      <c r="Z316" s="343"/>
      <c r="AA316" s="37"/>
      <c r="AB316" s="163">
        <v>4000</v>
      </c>
      <c r="AC316" s="314">
        <f>+X316-AB316</f>
        <v>-500</v>
      </c>
      <c r="AD316" s="36"/>
      <c r="AE316" s="36"/>
      <c r="AF316" s="36">
        <v>2000</v>
      </c>
      <c r="AG316" s="37"/>
      <c r="AH316" s="37">
        <f>V316-X316</f>
        <v>5340</v>
      </c>
      <c r="AI316" s="37"/>
      <c r="AJ316" s="37"/>
      <c r="AK316" s="24">
        <f>W316-Y316</f>
        <v>0</v>
      </c>
      <c r="AL316" s="35">
        <f>+X316-AF316</f>
        <v>1500</v>
      </c>
    </row>
    <row r="317" spans="1:38" s="263" customFormat="1" ht="42" customHeight="1">
      <c r="A317" s="76">
        <v>9</v>
      </c>
      <c r="B317" s="24" t="s">
        <v>193</v>
      </c>
      <c r="C317" s="54" t="s">
        <v>289</v>
      </c>
      <c r="D317" s="54"/>
      <c r="E317" s="54">
        <f>A317</f>
        <v>9</v>
      </c>
      <c r="F317" s="75"/>
      <c r="G317" s="356" t="s">
        <v>997</v>
      </c>
      <c r="H317" s="299">
        <v>2000</v>
      </c>
      <c r="I317" s="371">
        <f>H317</f>
        <v>2000</v>
      </c>
      <c r="J317" s="72"/>
      <c r="K317" s="72"/>
      <c r="L317" s="72"/>
      <c r="M317" s="299"/>
      <c r="N317" s="72"/>
      <c r="O317" s="371"/>
      <c r="P317" s="72"/>
      <c r="Q317" s="72"/>
      <c r="R317" s="72"/>
      <c r="S317" s="72"/>
      <c r="T317" s="72"/>
      <c r="U317" s="299">
        <v>2000</v>
      </c>
      <c r="V317" s="371">
        <v>2000</v>
      </c>
      <c r="W317" s="343"/>
      <c r="X317" s="73">
        <v>1000</v>
      </c>
      <c r="Y317" s="343"/>
      <c r="Z317" s="343"/>
      <c r="AA317" s="37" t="s">
        <v>726</v>
      </c>
      <c r="AB317" s="312">
        <f>X317</f>
        <v>1000</v>
      </c>
      <c r="AC317" s="313">
        <f>+X317-AB317</f>
        <v>0</v>
      </c>
      <c r="AD317" s="36"/>
      <c r="AE317" s="36"/>
      <c r="AF317" s="36">
        <v>700</v>
      </c>
      <c r="AG317" s="37"/>
      <c r="AH317" s="37">
        <f>V317-X317</f>
        <v>1000</v>
      </c>
      <c r="AI317" s="37"/>
      <c r="AJ317" s="37"/>
      <c r="AK317" s="24">
        <f>X317</f>
        <v>1000</v>
      </c>
      <c r="AL317" s="35">
        <f>+X317-AF317</f>
        <v>300</v>
      </c>
    </row>
    <row r="318" spans="1:38" s="263" customFormat="1" ht="18" customHeight="1">
      <c r="A318" s="76"/>
      <c r="B318" s="359"/>
      <c r="C318" s="54"/>
      <c r="D318" s="54"/>
      <c r="E318" s="54"/>
      <c r="F318" s="75"/>
      <c r="G318" s="356"/>
      <c r="H318" s="299"/>
      <c r="I318" s="371"/>
      <c r="J318" s="72"/>
      <c r="K318" s="72"/>
      <c r="L318" s="72"/>
      <c r="M318" s="299"/>
      <c r="N318" s="72"/>
      <c r="O318" s="371"/>
      <c r="P318" s="72"/>
      <c r="Q318" s="72"/>
      <c r="R318" s="72"/>
      <c r="S318" s="72"/>
      <c r="T318" s="72"/>
      <c r="U318" s="299"/>
      <c r="V318" s="371"/>
      <c r="W318" s="343"/>
      <c r="X318" s="343"/>
      <c r="Y318" s="343"/>
      <c r="Z318" s="343"/>
      <c r="AA318" s="37"/>
      <c r="AB318" s="163"/>
      <c r="AC318" s="314"/>
      <c r="AD318" s="36"/>
      <c r="AE318" s="36"/>
      <c r="AF318" s="36"/>
      <c r="AG318" s="37"/>
      <c r="AH318" s="37"/>
      <c r="AI318" s="37"/>
      <c r="AJ318" s="37"/>
      <c r="AK318" s="24"/>
      <c r="AL318" s="35"/>
    </row>
    <row r="319" spans="1:38" s="273" customFormat="1" ht="26.25" customHeight="1">
      <c r="A319" s="86" t="s">
        <v>329</v>
      </c>
      <c r="B319" s="457" t="s">
        <v>322</v>
      </c>
      <c r="C319" s="361"/>
      <c r="D319" s="361"/>
      <c r="E319" s="361"/>
      <c r="F319" s="75"/>
      <c r="G319" s="358"/>
      <c r="H319" s="275">
        <f aca="true" t="shared" si="55" ref="H319:Y319">SUM(H320:H322)</f>
        <v>20780</v>
      </c>
      <c r="I319" s="275">
        <f t="shared" si="55"/>
        <v>18145</v>
      </c>
      <c r="J319" s="275">
        <f t="shared" si="55"/>
        <v>0</v>
      </c>
      <c r="K319" s="275">
        <f t="shared" si="55"/>
        <v>0</v>
      </c>
      <c r="L319" s="275">
        <f t="shared" si="55"/>
        <v>0</v>
      </c>
      <c r="M319" s="275">
        <f t="shared" si="55"/>
        <v>2635</v>
      </c>
      <c r="N319" s="275">
        <f t="shared" si="55"/>
        <v>2635</v>
      </c>
      <c r="O319" s="275">
        <f t="shared" si="55"/>
        <v>2635</v>
      </c>
      <c r="P319" s="275">
        <f t="shared" si="55"/>
        <v>2635</v>
      </c>
      <c r="Q319" s="275">
        <f t="shared" si="55"/>
        <v>5085</v>
      </c>
      <c r="R319" s="275">
        <f t="shared" si="55"/>
        <v>0</v>
      </c>
      <c r="S319" s="275">
        <f t="shared" si="55"/>
        <v>0</v>
      </c>
      <c r="T319" s="275">
        <f t="shared" si="55"/>
        <v>0</v>
      </c>
      <c r="U319" s="275">
        <f t="shared" si="55"/>
        <v>12722</v>
      </c>
      <c r="V319" s="275">
        <f t="shared" si="55"/>
        <v>12722</v>
      </c>
      <c r="W319" s="275">
        <f t="shared" si="55"/>
        <v>3712</v>
      </c>
      <c r="X319" s="275">
        <f t="shared" si="55"/>
        <v>9010</v>
      </c>
      <c r="Y319" s="275">
        <f t="shared" si="55"/>
        <v>3712</v>
      </c>
      <c r="Z319" s="275"/>
      <c r="AA319" s="33">
        <v>9010</v>
      </c>
      <c r="AB319" s="316">
        <v>9010</v>
      </c>
      <c r="AC319" s="317">
        <f t="shared" si="47"/>
        <v>0</v>
      </c>
      <c r="AD319" s="32"/>
      <c r="AE319" s="32"/>
      <c r="AF319" s="32">
        <v>10000</v>
      </c>
      <c r="AG319" s="33"/>
      <c r="AH319" s="275">
        <f>SUM(AH320:AH321)</f>
        <v>0</v>
      </c>
      <c r="AI319" s="275"/>
      <c r="AJ319" s="275"/>
      <c r="AK319" s="24"/>
      <c r="AL319" s="35">
        <f t="shared" si="54"/>
        <v>-990</v>
      </c>
    </row>
    <row r="320" spans="1:38" s="273" customFormat="1" ht="35.25" customHeight="1">
      <c r="A320" s="298">
        <v>1</v>
      </c>
      <c r="B320" s="295" t="s">
        <v>175</v>
      </c>
      <c r="C320" s="54" t="s">
        <v>289</v>
      </c>
      <c r="D320" s="361"/>
      <c r="E320" s="361"/>
      <c r="F320" s="75"/>
      <c r="G320" s="356" t="s">
        <v>176</v>
      </c>
      <c r="H320" s="299">
        <v>3300</v>
      </c>
      <c r="I320" s="371">
        <f>H320</f>
        <v>3300</v>
      </c>
      <c r="J320" s="70"/>
      <c r="K320" s="70"/>
      <c r="L320" s="70"/>
      <c r="M320" s="70"/>
      <c r="N320" s="70"/>
      <c r="O320" s="70"/>
      <c r="P320" s="70"/>
      <c r="Q320" s="72">
        <f>1000+85</f>
        <v>1085</v>
      </c>
      <c r="R320" s="72"/>
      <c r="S320" s="72"/>
      <c r="T320" s="72"/>
      <c r="U320" s="343">
        <f>H320-M320-Q320</f>
        <v>2215</v>
      </c>
      <c r="V320" s="343">
        <f>U320</f>
        <v>2215</v>
      </c>
      <c r="W320" s="343">
        <f>V320</f>
        <v>2215</v>
      </c>
      <c r="X320" s="343">
        <f>W320</f>
        <v>2215</v>
      </c>
      <c r="Y320" s="343">
        <f>X320</f>
        <v>2215</v>
      </c>
      <c r="Z320" s="343"/>
      <c r="AA320" s="37" t="s">
        <v>364</v>
      </c>
      <c r="AB320" s="163">
        <v>2215</v>
      </c>
      <c r="AC320" s="314">
        <f t="shared" si="47"/>
        <v>0</v>
      </c>
      <c r="AD320" s="36"/>
      <c r="AE320" s="36"/>
      <c r="AF320" s="36">
        <v>2300</v>
      </c>
      <c r="AG320" s="37"/>
      <c r="AH320" s="37">
        <f>V320-X320</f>
        <v>0</v>
      </c>
      <c r="AI320" s="37"/>
      <c r="AJ320" s="37"/>
      <c r="AK320" s="24" t="s">
        <v>59</v>
      </c>
      <c r="AL320" s="35">
        <f t="shared" si="54"/>
        <v>-85</v>
      </c>
    </row>
    <row r="321" spans="1:45" s="169" customFormat="1" ht="36" customHeight="1">
      <c r="A321" s="75">
        <v>2</v>
      </c>
      <c r="B321" s="381" t="s">
        <v>200</v>
      </c>
      <c r="C321" s="54" t="s">
        <v>289</v>
      </c>
      <c r="D321" s="383"/>
      <c r="E321" s="383"/>
      <c r="F321" s="75"/>
      <c r="G321" s="75" t="s">
        <v>182</v>
      </c>
      <c r="H321" s="72">
        <v>5270</v>
      </c>
      <c r="I321" s="72">
        <v>2635</v>
      </c>
      <c r="J321" s="70"/>
      <c r="K321" s="70"/>
      <c r="L321" s="70"/>
      <c r="M321" s="301">
        <v>2635</v>
      </c>
      <c r="N321" s="301">
        <v>2635</v>
      </c>
      <c r="O321" s="301">
        <v>2635</v>
      </c>
      <c r="P321" s="301">
        <v>2635</v>
      </c>
      <c r="Q321" s="301">
        <v>800</v>
      </c>
      <c r="R321" s="301">
        <v>0</v>
      </c>
      <c r="S321" s="257"/>
      <c r="T321" s="257"/>
      <c r="U321" s="384">
        <f>4932-O321-Q321</f>
        <v>1497</v>
      </c>
      <c r="V321" s="384">
        <f>U321</f>
        <v>1497</v>
      </c>
      <c r="W321" s="384">
        <f>V321</f>
        <v>1497</v>
      </c>
      <c r="X321" s="384">
        <f>U321</f>
        <v>1497</v>
      </c>
      <c r="Y321" s="384">
        <f>X321</f>
        <v>1497</v>
      </c>
      <c r="Z321" s="301"/>
      <c r="AA321" s="37" t="s">
        <v>364</v>
      </c>
      <c r="AB321" s="318">
        <v>1497</v>
      </c>
      <c r="AC321" s="318">
        <f t="shared" si="47"/>
        <v>0</v>
      </c>
      <c r="AD321" s="36"/>
      <c r="AE321" s="36"/>
      <c r="AF321" s="285">
        <v>1340</v>
      </c>
      <c r="AG321" s="25"/>
      <c r="AH321" s="37">
        <f>V321-X321</f>
        <v>0</v>
      </c>
      <c r="AI321" s="37"/>
      <c r="AJ321" s="37"/>
      <c r="AK321" s="24">
        <f>W321-Y321</f>
        <v>0</v>
      </c>
      <c r="AL321" s="35">
        <f t="shared" si="54"/>
        <v>157</v>
      </c>
      <c r="AM321" s="276"/>
      <c r="AN321" s="167"/>
      <c r="AO321" s="168"/>
      <c r="AP321" s="168"/>
      <c r="AR321" s="170"/>
      <c r="AS321" s="170"/>
    </row>
    <row r="322" spans="1:38" s="273" customFormat="1" ht="45" customHeight="1">
      <c r="A322" s="76">
        <v>3</v>
      </c>
      <c r="B322" s="295" t="s">
        <v>173</v>
      </c>
      <c r="C322" s="54" t="s">
        <v>289</v>
      </c>
      <c r="D322" s="361"/>
      <c r="E322" s="361">
        <f>A322</f>
        <v>3</v>
      </c>
      <c r="F322" s="75"/>
      <c r="G322" s="356" t="s">
        <v>174</v>
      </c>
      <c r="H322" s="299">
        <v>12210</v>
      </c>
      <c r="I322" s="371">
        <f>H322</f>
        <v>12210</v>
      </c>
      <c r="J322" s="70"/>
      <c r="K322" s="70"/>
      <c r="L322" s="70"/>
      <c r="M322" s="70"/>
      <c r="N322" s="70"/>
      <c r="O322" s="70"/>
      <c r="P322" s="373"/>
      <c r="Q322" s="72">
        <v>3200</v>
      </c>
      <c r="R322" s="72"/>
      <c r="S322" s="72"/>
      <c r="T322" s="72"/>
      <c r="U322" s="343">
        <f>H322-M322-Q322</f>
        <v>9010</v>
      </c>
      <c r="V322" s="343">
        <f>U322</f>
        <v>9010</v>
      </c>
      <c r="W322" s="343"/>
      <c r="X322" s="343">
        <v>5298</v>
      </c>
      <c r="Y322" s="343"/>
      <c r="Z322" s="343"/>
      <c r="AA322" s="37" t="s">
        <v>78</v>
      </c>
      <c r="AB322" s="163">
        <v>5298</v>
      </c>
      <c r="AC322" s="314">
        <f t="shared" si="47"/>
        <v>0</v>
      </c>
      <c r="AD322" s="36"/>
      <c r="AE322" s="36"/>
      <c r="AF322" s="36">
        <v>6360</v>
      </c>
      <c r="AG322" s="37"/>
      <c r="AH322" s="37">
        <f>V322-X322</f>
        <v>3712</v>
      </c>
      <c r="AI322" s="37"/>
      <c r="AJ322" s="37"/>
      <c r="AK322" s="24">
        <f>X319-AA319-AK319</f>
        <v>0</v>
      </c>
      <c r="AL322" s="35">
        <f t="shared" si="54"/>
        <v>-1062</v>
      </c>
    </row>
    <row r="323" spans="1:45" s="169" customFormat="1" ht="30.75" customHeight="1">
      <c r="A323" s="86" t="s">
        <v>330</v>
      </c>
      <c r="B323" s="458" t="s">
        <v>327</v>
      </c>
      <c r="C323" s="361"/>
      <c r="D323" s="383"/>
      <c r="E323" s="383"/>
      <c r="F323" s="75"/>
      <c r="G323" s="6"/>
      <c r="H323" s="288">
        <f aca="true" t="shared" si="56" ref="H323:Z323">SUM(H324:H368)</f>
        <v>2793935.8510000003</v>
      </c>
      <c r="I323" s="288">
        <f t="shared" si="56"/>
        <v>448188.66000000003</v>
      </c>
      <c r="J323" s="288">
        <f t="shared" si="56"/>
        <v>17592</v>
      </c>
      <c r="K323" s="288">
        <f t="shared" si="56"/>
        <v>92305.7</v>
      </c>
      <c r="L323" s="288">
        <f t="shared" si="56"/>
        <v>60221.1</v>
      </c>
      <c r="M323" s="288">
        <f t="shared" si="56"/>
        <v>174065.831</v>
      </c>
      <c r="N323" s="288">
        <f t="shared" si="56"/>
        <v>118911.831</v>
      </c>
      <c r="O323" s="288">
        <f t="shared" si="56"/>
        <v>1037325.721</v>
      </c>
      <c r="P323" s="288">
        <f t="shared" si="56"/>
        <v>75963.9</v>
      </c>
      <c r="Q323" s="288">
        <f t="shared" si="56"/>
        <v>91716</v>
      </c>
      <c r="R323" s="288">
        <f t="shared" si="56"/>
        <v>1334</v>
      </c>
      <c r="S323" s="288">
        <f t="shared" si="56"/>
        <v>0</v>
      </c>
      <c r="T323" s="288">
        <f t="shared" si="56"/>
        <v>0</v>
      </c>
      <c r="U323" s="288">
        <f t="shared" si="56"/>
        <v>270684.46820833</v>
      </c>
      <c r="V323" s="288">
        <f t="shared" si="56"/>
        <v>246367.06</v>
      </c>
      <c r="W323" s="288">
        <f t="shared" si="56"/>
        <v>91202.80820833001</v>
      </c>
      <c r="X323" s="288">
        <f t="shared" si="56"/>
        <v>120459.64750832999</v>
      </c>
      <c r="Y323" s="288">
        <f t="shared" si="56"/>
        <v>74752.64750833</v>
      </c>
      <c r="Z323" s="288">
        <f t="shared" si="56"/>
        <v>9360</v>
      </c>
      <c r="AA323" s="287">
        <v>120460</v>
      </c>
      <c r="AB323" s="329">
        <v>120459.92350833</v>
      </c>
      <c r="AC323" s="329">
        <f t="shared" si="47"/>
        <v>-0.27600000001257285</v>
      </c>
      <c r="AD323" s="330"/>
      <c r="AE323" s="330"/>
      <c r="AF323" s="286">
        <v>128922.169</v>
      </c>
      <c r="AG323" s="287">
        <f>AA323+AK337</f>
        <v>120459.64750832999</v>
      </c>
      <c r="AH323" s="288">
        <f>SUM(AH324:AH386)</f>
        <v>54002</v>
      </c>
      <c r="AI323" s="288"/>
      <c r="AJ323" s="288"/>
      <c r="AK323" s="24" t="e">
        <f>#REF!</f>
        <v>#REF!</v>
      </c>
      <c r="AL323" s="35"/>
      <c r="AM323" s="276"/>
      <c r="AN323" s="167"/>
      <c r="AO323" s="168"/>
      <c r="AP323" s="168"/>
      <c r="AR323" s="289"/>
      <c r="AS323" s="289"/>
    </row>
    <row r="324" spans="1:38" s="263" customFormat="1" ht="51">
      <c r="A324" s="76">
        <v>1</v>
      </c>
      <c r="B324" s="359" t="s">
        <v>578</v>
      </c>
      <c r="C324" s="54"/>
      <c r="D324" s="54"/>
      <c r="E324" s="54"/>
      <c r="F324" s="75"/>
      <c r="G324" s="356"/>
      <c r="H324" s="459"/>
      <c r="I324" s="72" t="s">
        <v>59</v>
      </c>
      <c r="J324" s="72"/>
      <c r="K324" s="72"/>
      <c r="L324" s="72"/>
      <c r="M324" s="72"/>
      <c r="N324" s="72"/>
      <c r="O324" s="72"/>
      <c r="P324" s="72"/>
      <c r="Q324" s="299"/>
      <c r="R324" s="299"/>
      <c r="S324" s="72"/>
      <c r="T324" s="299"/>
      <c r="U324" s="343"/>
      <c r="V324" s="343"/>
      <c r="W324" s="343"/>
      <c r="X324" s="411">
        <v>379.686</v>
      </c>
      <c r="Y324" s="411">
        <v>379.686</v>
      </c>
      <c r="Z324" s="343"/>
      <c r="AA324" s="37" t="s">
        <v>579</v>
      </c>
      <c r="AB324" s="319">
        <v>379.686</v>
      </c>
      <c r="AC324" s="320">
        <f t="shared" si="47"/>
        <v>0</v>
      </c>
      <c r="AD324" s="36"/>
      <c r="AE324" s="36"/>
      <c r="AF324" s="36"/>
      <c r="AG324" s="37"/>
      <c r="AH324" s="37"/>
      <c r="AI324" s="37"/>
      <c r="AJ324" s="37"/>
      <c r="AK324" s="24"/>
      <c r="AL324" s="35"/>
    </row>
    <row r="325" spans="1:38" s="263" customFormat="1" ht="51">
      <c r="A325" s="76">
        <v>2</v>
      </c>
      <c r="B325" s="420" t="s">
        <v>588</v>
      </c>
      <c r="C325" s="54"/>
      <c r="D325" s="54"/>
      <c r="E325" s="54"/>
      <c r="F325" s="75"/>
      <c r="G325" s="356"/>
      <c r="H325" s="459"/>
      <c r="I325" s="72"/>
      <c r="J325" s="72"/>
      <c r="K325" s="72"/>
      <c r="L325" s="72"/>
      <c r="M325" s="72"/>
      <c r="N325" s="72"/>
      <c r="O325" s="72"/>
      <c r="P325" s="72"/>
      <c r="Q325" s="299"/>
      <c r="R325" s="299"/>
      <c r="S325" s="72"/>
      <c r="T325" s="299"/>
      <c r="U325" s="343"/>
      <c r="V325" s="343"/>
      <c r="W325" s="343"/>
      <c r="X325" s="411">
        <v>8</v>
      </c>
      <c r="Y325" s="411">
        <v>8</v>
      </c>
      <c r="Z325" s="343"/>
      <c r="AA325" s="37" t="s">
        <v>579</v>
      </c>
      <c r="AB325" s="319">
        <v>8</v>
      </c>
      <c r="AC325" s="320">
        <f t="shared" si="47"/>
        <v>0</v>
      </c>
      <c r="AD325" s="36">
        <f>X325</f>
        <v>8</v>
      </c>
      <c r="AE325" s="36"/>
      <c r="AF325" s="36"/>
      <c r="AG325" s="37"/>
      <c r="AH325" s="37"/>
      <c r="AI325" s="37"/>
      <c r="AJ325" s="37"/>
      <c r="AK325" s="24"/>
      <c r="AL325" s="35"/>
    </row>
    <row r="326" spans="1:38" s="263" customFormat="1" ht="43.5" customHeight="1">
      <c r="A326" s="76">
        <v>3</v>
      </c>
      <c r="B326" s="390" t="s">
        <v>603</v>
      </c>
      <c r="C326" s="54"/>
      <c r="D326" s="54"/>
      <c r="E326" s="54"/>
      <c r="F326" s="75"/>
      <c r="G326" s="356"/>
      <c r="H326" s="459"/>
      <c r="I326" s="72"/>
      <c r="J326" s="72"/>
      <c r="K326" s="72"/>
      <c r="L326" s="72"/>
      <c r="M326" s="72"/>
      <c r="N326" s="72"/>
      <c r="O326" s="72"/>
      <c r="P326" s="72"/>
      <c r="Q326" s="299"/>
      <c r="R326" s="299"/>
      <c r="S326" s="72"/>
      <c r="T326" s="299"/>
      <c r="U326" s="343"/>
      <c r="V326" s="343"/>
      <c r="W326" s="343"/>
      <c r="X326" s="411">
        <v>8.4075</v>
      </c>
      <c r="Y326" s="411">
        <f>X326</f>
        <v>8.4075</v>
      </c>
      <c r="Z326" s="343"/>
      <c r="AA326" s="37" t="s">
        <v>579</v>
      </c>
      <c r="AB326" s="319">
        <v>8.4075</v>
      </c>
      <c r="AC326" s="320">
        <f t="shared" si="47"/>
        <v>0</v>
      </c>
      <c r="AD326" s="36"/>
      <c r="AE326" s="36"/>
      <c r="AF326" s="36"/>
      <c r="AG326" s="37"/>
      <c r="AH326" s="37"/>
      <c r="AI326" s="37"/>
      <c r="AJ326" s="37"/>
      <c r="AK326" s="24"/>
      <c r="AL326" s="35"/>
    </row>
    <row r="327" spans="1:38" s="263" customFormat="1" ht="51">
      <c r="A327" s="76">
        <v>4</v>
      </c>
      <c r="B327" s="388" t="s">
        <v>610</v>
      </c>
      <c r="C327" s="54"/>
      <c r="D327" s="54"/>
      <c r="E327" s="54"/>
      <c r="F327" s="75"/>
      <c r="G327" s="356"/>
      <c r="H327" s="459"/>
      <c r="I327" s="72"/>
      <c r="J327" s="72"/>
      <c r="K327" s="72"/>
      <c r="L327" s="72"/>
      <c r="M327" s="72"/>
      <c r="N327" s="72"/>
      <c r="O327" s="72"/>
      <c r="P327" s="72"/>
      <c r="Q327" s="299"/>
      <c r="R327" s="299"/>
      <c r="S327" s="72"/>
      <c r="T327" s="299"/>
      <c r="U327" s="343"/>
      <c r="V327" s="343"/>
      <c r="W327" s="343"/>
      <c r="X327" s="411">
        <v>3</v>
      </c>
      <c r="Y327" s="411">
        <v>3</v>
      </c>
      <c r="Z327" s="343"/>
      <c r="AA327" s="37" t="s">
        <v>579</v>
      </c>
      <c r="AB327" s="319">
        <v>3</v>
      </c>
      <c r="AC327" s="320">
        <f t="shared" si="47"/>
        <v>0</v>
      </c>
      <c r="AD327" s="36"/>
      <c r="AE327" s="36"/>
      <c r="AF327" s="36"/>
      <c r="AG327" s="37"/>
      <c r="AH327" s="37"/>
      <c r="AI327" s="37"/>
      <c r="AJ327" s="37"/>
      <c r="AK327" s="24"/>
      <c r="AL327" s="35"/>
    </row>
    <row r="328" spans="1:38" s="263" customFormat="1" ht="51">
      <c r="A328" s="76">
        <v>5</v>
      </c>
      <c r="B328" s="460" t="s">
        <v>620</v>
      </c>
      <c r="C328" s="54"/>
      <c r="D328" s="54"/>
      <c r="E328" s="54"/>
      <c r="F328" s="75"/>
      <c r="G328" s="296"/>
      <c r="H328" s="459"/>
      <c r="I328" s="72"/>
      <c r="J328" s="72"/>
      <c r="K328" s="72"/>
      <c r="L328" s="72"/>
      <c r="M328" s="72"/>
      <c r="N328" s="72"/>
      <c r="O328" s="72"/>
      <c r="P328" s="72"/>
      <c r="Q328" s="299"/>
      <c r="R328" s="299"/>
      <c r="S328" s="72"/>
      <c r="T328" s="299"/>
      <c r="U328" s="343"/>
      <c r="V328" s="343"/>
      <c r="W328" s="343"/>
      <c r="X328" s="411">
        <v>26.2498</v>
      </c>
      <c r="Y328" s="411">
        <f>X328</f>
        <v>26.2498</v>
      </c>
      <c r="Z328" s="343"/>
      <c r="AA328" s="37" t="s">
        <v>579</v>
      </c>
      <c r="AB328" s="319">
        <v>26.2498</v>
      </c>
      <c r="AC328" s="320">
        <f t="shared" si="47"/>
        <v>0</v>
      </c>
      <c r="AD328" s="36"/>
      <c r="AE328" s="36"/>
      <c r="AF328" s="36"/>
      <c r="AG328" s="37"/>
      <c r="AH328" s="37"/>
      <c r="AI328" s="37"/>
      <c r="AJ328" s="37"/>
      <c r="AK328" s="24"/>
      <c r="AL328" s="35"/>
    </row>
    <row r="329" spans="1:38" s="263" customFormat="1" ht="51">
      <c r="A329" s="76">
        <v>6</v>
      </c>
      <c r="B329" s="390" t="s">
        <v>639</v>
      </c>
      <c r="C329" s="54"/>
      <c r="D329" s="54"/>
      <c r="E329" s="54"/>
      <c r="F329" s="75"/>
      <c r="G329" s="390"/>
      <c r="H329" s="459"/>
      <c r="I329" s="72"/>
      <c r="J329" s="72"/>
      <c r="K329" s="72"/>
      <c r="L329" s="72"/>
      <c r="M329" s="72"/>
      <c r="N329" s="72"/>
      <c r="O329" s="72"/>
      <c r="P329" s="72"/>
      <c r="Q329" s="299"/>
      <c r="R329" s="299"/>
      <c r="S329" s="72"/>
      <c r="T329" s="299"/>
      <c r="U329" s="343"/>
      <c r="V329" s="343"/>
      <c r="W329" s="343"/>
      <c r="X329" s="411">
        <v>566.809</v>
      </c>
      <c r="Y329" s="411">
        <v>566.809</v>
      </c>
      <c r="Z329" s="343"/>
      <c r="AA329" s="37" t="s">
        <v>579</v>
      </c>
      <c r="AB329" s="319">
        <v>566.809</v>
      </c>
      <c r="AC329" s="320">
        <f t="shared" si="47"/>
        <v>0</v>
      </c>
      <c r="AD329" s="36">
        <f>X329</f>
        <v>566.809</v>
      </c>
      <c r="AE329" s="36"/>
      <c r="AF329" s="36"/>
      <c r="AG329" s="37"/>
      <c r="AH329" s="37"/>
      <c r="AI329" s="37"/>
      <c r="AJ329" s="37"/>
      <c r="AK329" s="24"/>
      <c r="AL329" s="35"/>
    </row>
    <row r="330" spans="1:38" s="273" customFormat="1" ht="51">
      <c r="A330" s="76">
        <v>7</v>
      </c>
      <c r="B330" s="390" t="s">
        <v>583</v>
      </c>
      <c r="C330" s="54"/>
      <c r="D330" s="361"/>
      <c r="E330" s="361"/>
      <c r="F330" s="361"/>
      <c r="G330" s="361" t="s">
        <v>59</v>
      </c>
      <c r="H330" s="421"/>
      <c r="I330" s="275"/>
      <c r="J330" s="275"/>
      <c r="K330" s="275"/>
      <c r="L330" s="275"/>
      <c r="M330" s="275"/>
      <c r="N330" s="275"/>
      <c r="O330" s="275"/>
      <c r="P330" s="275"/>
      <c r="Q330" s="275"/>
      <c r="R330" s="275"/>
      <c r="S330" s="275"/>
      <c r="T330" s="275"/>
      <c r="U330" s="275"/>
      <c r="V330" s="275"/>
      <c r="W330" s="275"/>
      <c r="X330" s="423">
        <v>32</v>
      </c>
      <c r="Y330" s="423">
        <v>32</v>
      </c>
      <c r="Z330" s="343"/>
      <c r="AA330" s="37" t="s">
        <v>582</v>
      </c>
      <c r="AB330" s="323">
        <v>32</v>
      </c>
      <c r="AC330" s="314">
        <f t="shared" si="47"/>
        <v>0</v>
      </c>
      <c r="AD330" s="36">
        <f>X330</f>
        <v>32</v>
      </c>
      <c r="AE330" s="36"/>
      <c r="AF330" s="274"/>
      <c r="AG330" s="33"/>
      <c r="AH330" s="275"/>
      <c r="AI330" s="33"/>
      <c r="AJ330" s="33"/>
      <c r="AK330" s="24"/>
      <c r="AL330" s="35"/>
    </row>
    <row r="331" spans="1:38" s="273" customFormat="1" ht="38.25">
      <c r="A331" s="76">
        <v>8</v>
      </c>
      <c r="B331" s="388" t="s">
        <v>602</v>
      </c>
      <c r="C331" s="54"/>
      <c r="D331" s="361"/>
      <c r="E331" s="361"/>
      <c r="F331" s="361"/>
      <c r="G331" s="361"/>
      <c r="H331" s="388"/>
      <c r="I331" s="275"/>
      <c r="J331" s="275"/>
      <c r="K331" s="275"/>
      <c r="L331" s="275"/>
      <c r="M331" s="275"/>
      <c r="N331" s="275"/>
      <c r="O331" s="275"/>
      <c r="P331" s="275"/>
      <c r="Q331" s="275"/>
      <c r="R331" s="275"/>
      <c r="S331" s="275"/>
      <c r="T331" s="275"/>
      <c r="U331" s="275"/>
      <c r="V331" s="275"/>
      <c r="W331" s="275"/>
      <c r="X331" s="389">
        <v>360.757</v>
      </c>
      <c r="Y331" s="423">
        <f aca="true" t="shared" si="57" ref="Y331:Y337">X331</f>
        <v>360.757</v>
      </c>
      <c r="Z331" s="343"/>
      <c r="AA331" s="37" t="s">
        <v>582</v>
      </c>
      <c r="AB331" s="327">
        <v>360.757</v>
      </c>
      <c r="AC331" s="320">
        <f t="shared" si="47"/>
        <v>0</v>
      </c>
      <c r="AD331" s="36"/>
      <c r="AE331" s="36"/>
      <c r="AF331" s="274"/>
      <c r="AG331" s="33"/>
      <c r="AH331" s="275"/>
      <c r="AI331" s="33"/>
      <c r="AJ331" s="33"/>
      <c r="AK331" s="24"/>
      <c r="AL331" s="35"/>
    </row>
    <row r="332" spans="1:38" s="293" customFormat="1" ht="36" customHeight="1">
      <c r="A332" s="76">
        <v>9</v>
      </c>
      <c r="B332" s="461" t="s">
        <v>881</v>
      </c>
      <c r="C332" s="461"/>
      <c r="D332" s="461"/>
      <c r="E332" s="461"/>
      <c r="F332" s="462"/>
      <c r="G332" s="463"/>
      <c r="H332" s="446"/>
      <c r="I332" s="464"/>
      <c r="J332" s="461"/>
      <c r="K332" s="461"/>
      <c r="L332" s="461"/>
      <c r="M332" s="461"/>
      <c r="N332" s="461"/>
      <c r="O332" s="461"/>
      <c r="P332" s="461"/>
      <c r="Q332" s="461"/>
      <c r="R332" s="461"/>
      <c r="S332" s="461"/>
      <c r="T332" s="461"/>
      <c r="U332" s="461"/>
      <c r="V332" s="461"/>
      <c r="W332" s="461"/>
      <c r="X332" s="461">
        <v>4.93</v>
      </c>
      <c r="Y332" s="461">
        <f t="shared" si="57"/>
        <v>4.93</v>
      </c>
      <c r="Z332" s="461"/>
      <c r="AA332" s="461" t="s">
        <v>520</v>
      </c>
      <c r="AB332" s="294">
        <v>4.93</v>
      </c>
      <c r="AC332" s="331">
        <f t="shared" si="47"/>
        <v>0</v>
      </c>
      <c r="AD332" s="291"/>
      <c r="AE332" s="291"/>
      <c r="AF332" s="291"/>
      <c r="AG332" s="292"/>
      <c r="AH332" s="292"/>
      <c r="AI332" s="292"/>
      <c r="AJ332" s="292"/>
      <c r="AK332" s="292"/>
      <c r="AL332" s="35"/>
    </row>
    <row r="333" spans="1:243" s="40" customFormat="1" ht="90">
      <c r="A333" s="76">
        <v>10</v>
      </c>
      <c r="B333" s="426" t="s">
        <v>791</v>
      </c>
      <c r="C333" s="298" t="s">
        <v>792</v>
      </c>
      <c r="D333" s="26"/>
      <c r="E333" s="26"/>
      <c r="F333" s="427" t="s">
        <v>793</v>
      </c>
      <c r="G333" s="428" t="s">
        <v>794</v>
      </c>
      <c r="H333" s="429">
        <v>5019</v>
      </c>
      <c r="I333" s="425"/>
      <c r="J333" s="425"/>
      <c r="K333" s="425"/>
      <c r="L333" s="425"/>
      <c r="M333" s="425"/>
      <c r="N333" s="425"/>
      <c r="O333" s="425"/>
      <c r="P333" s="425"/>
      <c r="Q333" s="425"/>
      <c r="R333" s="425"/>
      <c r="S333" s="425"/>
      <c r="T333" s="425"/>
      <c r="U333" s="440"/>
      <c r="V333" s="425"/>
      <c r="W333" s="425"/>
      <c r="X333" s="425">
        <v>9</v>
      </c>
      <c r="Y333" s="425">
        <f t="shared" si="57"/>
        <v>9</v>
      </c>
      <c r="Z333" s="71"/>
      <c r="AA333" s="37" t="s">
        <v>520</v>
      </c>
      <c r="AB333" s="318">
        <v>9</v>
      </c>
      <c r="AC333" s="318">
        <f t="shared" si="47"/>
        <v>0</v>
      </c>
      <c r="AD333" s="36">
        <f>X333</f>
        <v>9</v>
      </c>
      <c r="AE333" s="36"/>
      <c r="AF333" s="42"/>
      <c r="AG333" s="13"/>
      <c r="AH333" s="37"/>
      <c r="AI333" s="37"/>
      <c r="AJ333" s="37"/>
      <c r="AK333" s="24"/>
      <c r="AL333" s="35"/>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c r="HN333" s="31"/>
      <c r="HO333" s="31"/>
      <c r="HP333" s="31"/>
      <c r="HQ333" s="31"/>
      <c r="HR333" s="31"/>
      <c r="HS333" s="31"/>
      <c r="HT333" s="31"/>
      <c r="HU333" s="31"/>
      <c r="HV333" s="31"/>
      <c r="HW333" s="31"/>
      <c r="HX333" s="31"/>
      <c r="HY333" s="31"/>
      <c r="HZ333" s="31"/>
      <c r="IA333" s="31"/>
      <c r="IB333" s="31"/>
      <c r="IC333" s="31"/>
      <c r="ID333" s="31"/>
      <c r="IE333" s="31"/>
      <c r="IF333" s="31"/>
      <c r="IG333" s="31"/>
      <c r="IH333" s="31"/>
      <c r="II333" s="31"/>
    </row>
    <row r="334" spans="1:243" s="40" customFormat="1" ht="39.75" customHeight="1">
      <c r="A334" s="76">
        <v>11</v>
      </c>
      <c r="B334" s="381" t="s">
        <v>533</v>
      </c>
      <c r="C334" s="13" t="s">
        <v>534</v>
      </c>
      <c r="D334" s="26"/>
      <c r="E334" s="26">
        <f>A334</f>
        <v>11</v>
      </c>
      <c r="F334" s="75" t="s">
        <v>535</v>
      </c>
      <c r="G334" s="75" t="s">
        <v>536</v>
      </c>
      <c r="H334" s="380">
        <v>13977</v>
      </c>
      <c r="I334" s="380">
        <v>13977</v>
      </c>
      <c r="J334" s="71"/>
      <c r="K334" s="71"/>
      <c r="L334" s="71"/>
      <c r="M334" s="71"/>
      <c r="N334" s="71"/>
      <c r="O334" s="71">
        <f>+I334-24</f>
        <v>13953</v>
      </c>
      <c r="P334" s="71">
        <f>+O334</f>
        <v>13953</v>
      </c>
      <c r="Q334" s="71"/>
      <c r="R334" s="71"/>
      <c r="S334" s="71"/>
      <c r="T334" s="71"/>
      <c r="U334" s="71">
        <v>24</v>
      </c>
      <c r="V334" s="71">
        <f>U334</f>
        <v>24</v>
      </c>
      <c r="W334" s="71">
        <f>V334</f>
        <v>24</v>
      </c>
      <c r="X334" s="71">
        <f>V334</f>
        <v>24</v>
      </c>
      <c r="Y334" s="71">
        <f t="shared" si="57"/>
        <v>24</v>
      </c>
      <c r="Z334" s="71"/>
      <c r="AA334" s="13" t="s">
        <v>537</v>
      </c>
      <c r="AB334" s="164">
        <v>24</v>
      </c>
      <c r="AC334" s="164">
        <f t="shared" si="47"/>
        <v>0</v>
      </c>
      <c r="AD334" s="42"/>
      <c r="AE334" s="42"/>
      <c r="AF334" s="42">
        <v>1430</v>
      </c>
      <c r="AG334" s="13"/>
      <c r="AH334" s="37">
        <f>V334-X334</f>
        <v>0</v>
      </c>
      <c r="AI334" s="37"/>
      <c r="AJ334" s="37"/>
      <c r="AK334" s="24">
        <f>X334</f>
        <v>24</v>
      </c>
      <c r="AL334" s="35">
        <f>+X334-AF334</f>
        <v>-1406</v>
      </c>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c r="HN334" s="31"/>
      <c r="HO334" s="31"/>
      <c r="HP334" s="31"/>
      <c r="HQ334" s="31"/>
      <c r="HR334" s="31"/>
      <c r="HS334" s="31"/>
      <c r="HT334" s="31"/>
      <c r="HU334" s="31"/>
      <c r="HV334" s="31"/>
      <c r="HW334" s="31"/>
      <c r="HX334" s="31"/>
      <c r="HY334" s="31"/>
      <c r="HZ334" s="31"/>
      <c r="IA334" s="31"/>
      <c r="IB334" s="31"/>
      <c r="IC334" s="31"/>
      <c r="ID334" s="31"/>
      <c r="IE334" s="31"/>
      <c r="IF334" s="31"/>
      <c r="IG334" s="31"/>
      <c r="IH334" s="31"/>
      <c r="II334" s="31"/>
    </row>
    <row r="335" spans="1:243" s="40" customFormat="1" ht="39.75" customHeight="1">
      <c r="A335" s="76">
        <v>12</v>
      </c>
      <c r="B335" s="348" t="s">
        <v>928</v>
      </c>
      <c r="C335" s="75"/>
      <c r="D335" s="54"/>
      <c r="E335" s="54"/>
      <c r="F335" s="54"/>
      <c r="G335" s="298" t="s">
        <v>929</v>
      </c>
      <c r="H335" s="301">
        <v>2280</v>
      </c>
      <c r="I335" s="371">
        <f aca="true" t="shared" si="58" ref="I335:I340">H335</f>
        <v>2280</v>
      </c>
      <c r="J335" s="257"/>
      <c r="K335" s="72"/>
      <c r="L335" s="72"/>
      <c r="M335" s="72"/>
      <c r="N335" s="72"/>
      <c r="O335" s="371">
        <v>1894.9</v>
      </c>
      <c r="P335" s="371">
        <f>O335</f>
        <v>1894.9</v>
      </c>
      <c r="Q335" s="371">
        <v>0</v>
      </c>
      <c r="R335" s="371"/>
      <c r="S335" s="371"/>
      <c r="T335" s="371"/>
      <c r="U335" s="371">
        <f>V335</f>
        <v>5</v>
      </c>
      <c r="V335" s="371">
        <f>W335</f>
        <v>5</v>
      </c>
      <c r="W335" s="371">
        <v>5</v>
      </c>
      <c r="X335" s="371">
        <f>Y335</f>
        <v>5</v>
      </c>
      <c r="Y335" s="371">
        <f>5</f>
        <v>5</v>
      </c>
      <c r="Z335" s="343"/>
      <c r="AA335" s="465" t="s">
        <v>520</v>
      </c>
      <c r="AB335" s="164"/>
      <c r="AC335" s="164">
        <f t="shared" si="47"/>
        <v>5</v>
      </c>
      <c r="AD335" s="292"/>
      <c r="AE335" s="291"/>
      <c r="AF335" s="42"/>
      <c r="AG335" s="171"/>
      <c r="AH335" s="283"/>
      <c r="AI335" s="283"/>
      <c r="AJ335" s="283"/>
      <c r="AK335" s="332"/>
      <c r="AL335" s="35"/>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c r="HN335" s="31"/>
      <c r="HO335" s="31"/>
      <c r="HP335" s="31"/>
      <c r="HQ335" s="31"/>
      <c r="HR335" s="31"/>
      <c r="HS335" s="31"/>
      <c r="HT335" s="31"/>
      <c r="HU335" s="31"/>
      <c r="HV335" s="31"/>
      <c r="HW335" s="31"/>
      <c r="HX335" s="31"/>
      <c r="HY335" s="31"/>
      <c r="HZ335" s="31"/>
      <c r="IA335" s="31"/>
      <c r="IB335" s="31"/>
      <c r="IC335" s="31"/>
      <c r="ID335" s="31"/>
      <c r="IE335" s="31"/>
      <c r="IF335" s="31"/>
      <c r="IG335" s="31"/>
      <c r="IH335" s="31"/>
      <c r="II335" s="31"/>
    </row>
    <row r="336" spans="1:38" s="290" customFormat="1" ht="76.5">
      <c r="A336" s="76">
        <v>13</v>
      </c>
      <c r="B336" s="461" t="s">
        <v>518</v>
      </c>
      <c r="C336" s="461"/>
      <c r="D336" s="461"/>
      <c r="E336" s="461"/>
      <c r="F336" s="462" t="s">
        <v>519</v>
      </c>
      <c r="G336" s="463" t="s">
        <v>880</v>
      </c>
      <c r="H336" s="446">
        <v>3500</v>
      </c>
      <c r="I336" s="464">
        <f t="shared" si="58"/>
        <v>3500</v>
      </c>
      <c r="J336" s="461"/>
      <c r="K336" s="461"/>
      <c r="L336" s="461"/>
      <c r="M336" s="461"/>
      <c r="N336" s="461"/>
      <c r="O336" s="461">
        <v>2500</v>
      </c>
      <c r="P336" s="461">
        <f>O336</f>
        <v>2500</v>
      </c>
      <c r="Q336" s="461"/>
      <c r="R336" s="461"/>
      <c r="S336" s="461"/>
      <c r="T336" s="461"/>
      <c r="U336" s="461">
        <v>55</v>
      </c>
      <c r="V336" s="461">
        <v>55</v>
      </c>
      <c r="W336" s="461">
        <v>55</v>
      </c>
      <c r="X336" s="461">
        <v>55</v>
      </c>
      <c r="Y336" s="461">
        <f t="shared" si="57"/>
        <v>55</v>
      </c>
      <c r="Z336" s="461"/>
      <c r="AA336" s="465" t="s">
        <v>520</v>
      </c>
      <c r="AB336" s="294">
        <v>55</v>
      </c>
      <c r="AC336" s="331">
        <f t="shared" si="47"/>
        <v>0</v>
      </c>
      <c r="AD336" s="292"/>
      <c r="AE336" s="292"/>
      <c r="AF336" s="290">
        <v>55</v>
      </c>
      <c r="AL336" s="35">
        <f aca="true" t="shared" si="59" ref="AL336:AL345">+X336-AF336</f>
        <v>0</v>
      </c>
    </row>
    <row r="337" spans="1:38" s="263" customFormat="1" ht="61.5" customHeight="1">
      <c r="A337" s="76">
        <v>14</v>
      </c>
      <c r="B337" s="359" t="s">
        <v>150</v>
      </c>
      <c r="C337" s="54" t="s">
        <v>289</v>
      </c>
      <c r="D337" s="54"/>
      <c r="E337" s="54"/>
      <c r="F337" s="75"/>
      <c r="G337" s="356" t="s">
        <v>151</v>
      </c>
      <c r="H337" s="459">
        <v>6400</v>
      </c>
      <c r="I337" s="72">
        <f t="shared" si="58"/>
        <v>6400</v>
      </c>
      <c r="J337" s="72"/>
      <c r="K337" s="72"/>
      <c r="L337" s="72"/>
      <c r="M337" s="72">
        <v>4660</v>
      </c>
      <c r="N337" s="72">
        <f aca="true" t="shared" si="60" ref="N337:N342">M337</f>
        <v>4660</v>
      </c>
      <c r="O337" s="72">
        <v>4660</v>
      </c>
      <c r="P337" s="72"/>
      <c r="Q337" s="299">
        <v>900</v>
      </c>
      <c r="R337" s="299"/>
      <c r="S337" s="72"/>
      <c r="T337" s="299"/>
      <c r="U337" s="343">
        <f>1740-900</f>
        <v>840</v>
      </c>
      <c r="V337" s="343">
        <f>U337</f>
        <v>840</v>
      </c>
      <c r="W337" s="343">
        <f>V337</f>
        <v>840</v>
      </c>
      <c r="X337" s="343">
        <f>W337</f>
        <v>840</v>
      </c>
      <c r="Y337" s="343">
        <f t="shared" si="57"/>
        <v>840</v>
      </c>
      <c r="Z337" s="343"/>
      <c r="AA337" s="37" t="s">
        <v>753</v>
      </c>
      <c r="AB337" s="163">
        <v>840</v>
      </c>
      <c r="AC337" s="314">
        <f t="shared" si="47"/>
        <v>0</v>
      </c>
      <c r="AD337" s="36"/>
      <c r="AE337" s="36"/>
      <c r="AF337" s="36">
        <v>840</v>
      </c>
      <c r="AG337" s="37"/>
      <c r="AH337" s="37">
        <f>V337-X337</f>
        <v>0</v>
      </c>
      <c r="AI337" s="37"/>
      <c r="AJ337" s="37"/>
      <c r="AK337" s="24">
        <f>X323-AA323</f>
        <v>-0.35249167001165915</v>
      </c>
      <c r="AL337" s="35">
        <f t="shared" si="59"/>
        <v>0</v>
      </c>
    </row>
    <row r="338" spans="1:38" s="41" customFormat="1" ht="51">
      <c r="A338" s="76">
        <v>15</v>
      </c>
      <c r="B338" s="209" t="s">
        <v>164</v>
      </c>
      <c r="C338" s="54" t="s">
        <v>289</v>
      </c>
      <c r="D338" s="54"/>
      <c r="E338" s="54"/>
      <c r="F338" s="75"/>
      <c r="G338" s="75" t="s">
        <v>165</v>
      </c>
      <c r="H338" s="466">
        <f>19880+7622-280-22</f>
        <v>27200</v>
      </c>
      <c r="I338" s="371">
        <f t="shared" si="58"/>
        <v>27200</v>
      </c>
      <c r="J338" s="72"/>
      <c r="K338" s="72"/>
      <c r="L338" s="72"/>
      <c r="M338" s="72">
        <v>18295</v>
      </c>
      <c r="N338" s="72">
        <f t="shared" si="60"/>
        <v>18295</v>
      </c>
      <c r="O338" s="371">
        <v>18295</v>
      </c>
      <c r="P338" s="371">
        <f>O338</f>
        <v>18295</v>
      </c>
      <c r="Q338" s="72">
        <v>4117</v>
      </c>
      <c r="R338" s="376"/>
      <c r="S338" s="72"/>
      <c r="T338" s="376">
        <f>R338</f>
        <v>0</v>
      </c>
      <c r="U338" s="343">
        <v>2446</v>
      </c>
      <c r="V338" s="343">
        <f aca="true" t="shared" si="61" ref="V338:Y339">U338</f>
        <v>2446</v>
      </c>
      <c r="W338" s="343">
        <f t="shared" si="61"/>
        <v>2446</v>
      </c>
      <c r="X338" s="343">
        <f t="shared" si="61"/>
        <v>2446</v>
      </c>
      <c r="Y338" s="343">
        <f t="shared" si="61"/>
        <v>2446</v>
      </c>
      <c r="Z338" s="343"/>
      <c r="AA338" s="37" t="s">
        <v>900</v>
      </c>
      <c r="AB338" s="163">
        <v>2446</v>
      </c>
      <c r="AC338" s="314">
        <f t="shared" si="47"/>
        <v>0</v>
      </c>
      <c r="AD338" s="36"/>
      <c r="AE338" s="36"/>
      <c r="AF338" s="36">
        <v>2285</v>
      </c>
      <c r="AG338" s="37"/>
      <c r="AH338" s="37"/>
      <c r="AI338" s="37"/>
      <c r="AJ338" s="37"/>
      <c r="AK338" s="24">
        <f aca="true" t="shared" si="62" ref="AK338:AK346">W338-Y338</f>
        <v>0</v>
      </c>
      <c r="AL338" s="35">
        <f t="shared" si="59"/>
        <v>161</v>
      </c>
    </row>
    <row r="339" spans="1:38" s="263" customFormat="1" ht="51">
      <c r="A339" s="76">
        <v>16</v>
      </c>
      <c r="B339" s="359" t="s">
        <v>152</v>
      </c>
      <c r="C339" s="54" t="s">
        <v>289</v>
      </c>
      <c r="D339" s="54"/>
      <c r="E339" s="54"/>
      <c r="F339" s="75"/>
      <c r="G339" s="356" t="s">
        <v>153</v>
      </c>
      <c r="H339" s="299">
        <v>8200</v>
      </c>
      <c r="I339" s="371">
        <f t="shared" si="58"/>
        <v>8200</v>
      </c>
      <c r="J339" s="72"/>
      <c r="K339" s="72"/>
      <c r="L339" s="72"/>
      <c r="M339" s="300">
        <v>3239.831</v>
      </c>
      <c r="N339" s="300">
        <f t="shared" si="60"/>
        <v>3239.831</v>
      </c>
      <c r="O339" s="371">
        <v>3239.831</v>
      </c>
      <c r="P339" s="371"/>
      <c r="Q339" s="299">
        <v>1800</v>
      </c>
      <c r="R339" s="299"/>
      <c r="S339" s="72"/>
      <c r="T339" s="299"/>
      <c r="U339" s="343">
        <v>3138</v>
      </c>
      <c r="V339" s="343">
        <f t="shared" si="61"/>
        <v>3138</v>
      </c>
      <c r="W339" s="343">
        <f t="shared" si="61"/>
        <v>3138</v>
      </c>
      <c r="X339" s="343">
        <f t="shared" si="61"/>
        <v>3138</v>
      </c>
      <c r="Y339" s="343">
        <f t="shared" si="61"/>
        <v>3138</v>
      </c>
      <c r="Z339" s="343"/>
      <c r="AA339" s="37" t="s">
        <v>753</v>
      </c>
      <c r="AB339" s="163">
        <v>3138</v>
      </c>
      <c r="AC339" s="314">
        <f t="shared" si="47"/>
        <v>0</v>
      </c>
      <c r="AD339" s="36"/>
      <c r="AE339" s="36"/>
      <c r="AF339" s="36">
        <v>3160.169</v>
      </c>
      <c r="AG339" s="37"/>
      <c r="AH339" s="37">
        <f aca="true" t="shared" si="63" ref="AH339:AH346">V339-X339</f>
        <v>0</v>
      </c>
      <c r="AI339" s="37"/>
      <c r="AJ339" s="37"/>
      <c r="AK339" s="24">
        <f t="shared" si="62"/>
        <v>0</v>
      </c>
      <c r="AL339" s="35">
        <f t="shared" si="59"/>
        <v>-22.16899999999987</v>
      </c>
    </row>
    <row r="340" spans="1:38" s="263" customFormat="1" ht="69.75" customHeight="1">
      <c r="A340" s="76">
        <v>17</v>
      </c>
      <c r="B340" s="359" t="s">
        <v>154</v>
      </c>
      <c r="C340" s="54" t="s">
        <v>289</v>
      </c>
      <c r="D340" s="54"/>
      <c r="E340" s="54"/>
      <c r="F340" s="75"/>
      <c r="G340" s="356" t="s">
        <v>156</v>
      </c>
      <c r="H340" s="299">
        <v>8800</v>
      </c>
      <c r="I340" s="371">
        <f t="shared" si="58"/>
        <v>8800</v>
      </c>
      <c r="J340" s="72"/>
      <c r="K340" s="72"/>
      <c r="L340" s="72"/>
      <c r="M340" s="72">
        <v>4300</v>
      </c>
      <c r="N340" s="72">
        <f t="shared" si="60"/>
        <v>4300</v>
      </c>
      <c r="O340" s="371">
        <v>2000</v>
      </c>
      <c r="P340" s="371"/>
      <c r="Q340" s="72">
        <v>2000</v>
      </c>
      <c r="R340" s="72"/>
      <c r="S340" s="72"/>
      <c r="T340" s="72"/>
      <c r="U340" s="343">
        <v>2392</v>
      </c>
      <c r="V340" s="343">
        <f aca="true" t="shared" si="64" ref="V340:V347">U340</f>
        <v>2392</v>
      </c>
      <c r="W340" s="343">
        <f>+V340</f>
        <v>2392</v>
      </c>
      <c r="X340" s="343">
        <f>W340</f>
        <v>2392</v>
      </c>
      <c r="Y340" s="343">
        <f>X340</f>
        <v>2392</v>
      </c>
      <c r="Z340" s="343"/>
      <c r="AA340" s="37" t="s">
        <v>932</v>
      </c>
      <c r="AB340" s="163">
        <v>2392</v>
      </c>
      <c r="AC340" s="314">
        <f t="shared" si="47"/>
        <v>0</v>
      </c>
      <c r="AD340" s="36"/>
      <c r="AE340" s="36"/>
      <c r="AF340" s="36">
        <v>2412</v>
      </c>
      <c r="AG340" s="37"/>
      <c r="AH340" s="37">
        <f t="shared" si="63"/>
        <v>0</v>
      </c>
      <c r="AI340" s="37"/>
      <c r="AJ340" s="37"/>
      <c r="AK340" s="24">
        <f t="shared" si="62"/>
        <v>0</v>
      </c>
      <c r="AL340" s="35">
        <f t="shared" si="59"/>
        <v>-20</v>
      </c>
    </row>
    <row r="341" spans="1:38" s="263" customFormat="1" ht="63.75">
      <c r="A341" s="76">
        <v>18</v>
      </c>
      <c r="B341" s="359" t="s">
        <v>157</v>
      </c>
      <c r="C341" s="54" t="s">
        <v>289</v>
      </c>
      <c r="D341" s="54"/>
      <c r="E341" s="54"/>
      <c r="F341" s="75"/>
      <c r="G341" s="356" t="s">
        <v>813</v>
      </c>
      <c r="H341" s="299">
        <v>9753</v>
      </c>
      <c r="I341" s="371">
        <f>H341-3000</f>
        <v>6753</v>
      </c>
      <c r="J341" s="72"/>
      <c r="K341" s="72"/>
      <c r="L341" s="72"/>
      <c r="M341" s="72">
        <v>3000</v>
      </c>
      <c r="N341" s="72">
        <f t="shared" si="60"/>
        <v>3000</v>
      </c>
      <c r="O341" s="371">
        <v>1300</v>
      </c>
      <c r="P341" s="371"/>
      <c r="Q341" s="72">
        <v>1300</v>
      </c>
      <c r="R341" s="72"/>
      <c r="S341" s="72"/>
      <c r="T341" s="72"/>
      <c r="U341" s="343">
        <f>H341-M341-Q341</f>
        <v>5453</v>
      </c>
      <c r="V341" s="343">
        <f t="shared" si="64"/>
        <v>5453</v>
      </c>
      <c r="W341" s="343">
        <f>V341</f>
        <v>5453</v>
      </c>
      <c r="X341" s="343">
        <v>5450</v>
      </c>
      <c r="Y341" s="343">
        <f>X341</f>
        <v>5450</v>
      </c>
      <c r="Z341" s="343"/>
      <c r="AA341" s="37" t="s">
        <v>753</v>
      </c>
      <c r="AB341" s="163">
        <v>5453</v>
      </c>
      <c r="AC341" s="314">
        <f t="shared" si="47"/>
        <v>-3</v>
      </c>
      <c r="AD341" s="36"/>
      <c r="AE341" s="36"/>
      <c r="AF341" s="36">
        <v>1700</v>
      </c>
      <c r="AG341" s="37"/>
      <c r="AH341" s="37">
        <f t="shared" si="63"/>
        <v>3</v>
      </c>
      <c r="AI341" s="37"/>
      <c r="AJ341" s="37"/>
      <c r="AK341" s="24">
        <f t="shared" si="62"/>
        <v>3</v>
      </c>
      <c r="AL341" s="35">
        <f t="shared" si="59"/>
        <v>3750</v>
      </c>
    </row>
    <row r="342" spans="1:38" s="263" customFormat="1" ht="38.25">
      <c r="A342" s="76">
        <v>19</v>
      </c>
      <c r="B342" s="359" t="s">
        <v>158</v>
      </c>
      <c r="C342" s="54" t="s">
        <v>289</v>
      </c>
      <c r="D342" s="54"/>
      <c r="E342" s="54"/>
      <c r="F342" s="75"/>
      <c r="G342" s="217" t="s">
        <v>159</v>
      </c>
      <c r="H342" s="299">
        <v>3000</v>
      </c>
      <c r="I342" s="72">
        <v>1500</v>
      </c>
      <c r="J342" s="72"/>
      <c r="K342" s="72"/>
      <c r="L342" s="72"/>
      <c r="M342" s="72">
        <v>1500</v>
      </c>
      <c r="N342" s="72">
        <f t="shared" si="60"/>
        <v>1500</v>
      </c>
      <c r="O342" s="371">
        <v>1500</v>
      </c>
      <c r="P342" s="371"/>
      <c r="Q342" s="72">
        <v>500</v>
      </c>
      <c r="R342" s="72"/>
      <c r="S342" s="72"/>
      <c r="T342" s="72"/>
      <c r="U342" s="343">
        <f>H342-M342-Q342</f>
        <v>1000</v>
      </c>
      <c r="V342" s="343">
        <f t="shared" si="64"/>
        <v>1000</v>
      </c>
      <c r="W342" s="343">
        <f>V342</f>
        <v>1000</v>
      </c>
      <c r="X342" s="343">
        <f>V342</f>
        <v>1000</v>
      </c>
      <c r="Y342" s="343">
        <f>X342</f>
        <v>1000</v>
      </c>
      <c r="Z342" s="343"/>
      <c r="AA342" s="37" t="s">
        <v>753</v>
      </c>
      <c r="AB342" s="163">
        <v>1000</v>
      </c>
      <c r="AC342" s="314">
        <f t="shared" si="47"/>
        <v>0</v>
      </c>
      <c r="AD342" s="36"/>
      <c r="AE342" s="36"/>
      <c r="AF342" s="36">
        <v>1000</v>
      </c>
      <c r="AG342" s="37"/>
      <c r="AH342" s="37">
        <f t="shared" si="63"/>
        <v>0</v>
      </c>
      <c r="AI342" s="37"/>
      <c r="AJ342" s="37"/>
      <c r="AK342" s="24">
        <f t="shared" si="62"/>
        <v>0</v>
      </c>
      <c r="AL342" s="35">
        <f t="shared" si="59"/>
        <v>0</v>
      </c>
    </row>
    <row r="343" spans="1:38" s="41" customFormat="1" ht="51">
      <c r="A343" s="76">
        <v>20</v>
      </c>
      <c r="B343" s="354" t="s">
        <v>977</v>
      </c>
      <c r="C343" s="75" t="s">
        <v>66</v>
      </c>
      <c r="D343" s="75" t="s">
        <v>83</v>
      </c>
      <c r="E343" s="75"/>
      <c r="F343" s="75" t="s">
        <v>84</v>
      </c>
      <c r="G343" s="356" t="s">
        <v>85</v>
      </c>
      <c r="H343" s="299">
        <f>O343+U343</f>
        <v>67056</v>
      </c>
      <c r="I343" s="371">
        <v>9100</v>
      </c>
      <c r="J343" s="371" t="s">
        <v>86</v>
      </c>
      <c r="K343" s="371">
        <v>72463</v>
      </c>
      <c r="L343" s="371">
        <v>57970.4</v>
      </c>
      <c r="M343" s="371">
        <v>68237</v>
      </c>
      <c r="N343" s="371">
        <v>63170</v>
      </c>
      <c r="O343" s="371">
        <v>64956</v>
      </c>
      <c r="P343" s="371">
        <v>7000</v>
      </c>
      <c r="Q343" s="299"/>
      <c r="R343" s="380"/>
      <c r="S343" s="72"/>
      <c r="T343" s="371"/>
      <c r="U343" s="343">
        <v>2100</v>
      </c>
      <c r="V343" s="343">
        <f t="shared" si="64"/>
        <v>2100</v>
      </c>
      <c r="W343" s="343">
        <f aca="true" t="shared" si="65" ref="W343:Y346">V343</f>
        <v>2100</v>
      </c>
      <c r="X343" s="343">
        <f t="shared" si="65"/>
        <v>2100</v>
      </c>
      <c r="Y343" s="343">
        <f t="shared" si="65"/>
        <v>2100</v>
      </c>
      <c r="Z343" s="343"/>
      <c r="AA343" s="37" t="s">
        <v>753</v>
      </c>
      <c r="AB343" s="163">
        <v>2100</v>
      </c>
      <c r="AC343" s="314">
        <f t="shared" si="47"/>
        <v>0</v>
      </c>
      <c r="AD343" s="36">
        <f>X343</f>
        <v>2100</v>
      </c>
      <c r="AE343" s="36"/>
      <c r="AF343" s="36">
        <v>2100</v>
      </c>
      <c r="AG343" s="37"/>
      <c r="AH343" s="37">
        <f t="shared" si="63"/>
        <v>0</v>
      </c>
      <c r="AI343" s="37"/>
      <c r="AJ343" s="37"/>
      <c r="AK343" s="24">
        <f t="shared" si="62"/>
        <v>0</v>
      </c>
      <c r="AL343" s="35">
        <f t="shared" si="59"/>
        <v>0</v>
      </c>
    </row>
    <row r="344" spans="1:38" s="41" customFormat="1" ht="63.75">
      <c r="A344" s="76">
        <v>21</v>
      </c>
      <c r="B344" s="295" t="s">
        <v>281</v>
      </c>
      <c r="C344" s="75" t="s">
        <v>66</v>
      </c>
      <c r="D344" s="75"/>
      <c r="E344" s="75"/>
      <c r="F344" s="75" t="s">
        <v>243</v>
      </c>
      <c r="G344" s="356" t="s">
        <v>504</v>
      </c>
      <c r="H344" s="71">
        <v>7807</v>
      </c>
      <c r="I344" s="71">
        <v>780.7</v>
      </c>
      <c r="J344" s="392"/>
      <c r="K344" s="393">
        <v>780.7</v>
      </c>
      <c r="L344" s="71">
        <v>780.7</v>
      </c>
      <c r="M344" s="376">
        <v>7726</v>
      </c>
      <c r="N344" s="376"/>
      <c r="O344" s="376">
        <v>7726</v>
      </c>
      <c r="P344" s="376"/>
      <c r="Q344" s="350"/>
      <c r="R344" s="380"/>
      <c r="S344" s="72"/>
      <c r="T344" s="72"/>
      <c r="U344" s="343">
        <v>697</v>
      </c>
      <c r="V344" s="343">
        <f t="shared" si="64"/>
        <v>697</v>
      </c>
      <c r="W344" s="343">
        <f t="shared" si="65"/>
        <v>697</v>
      </c>
      <c r="X344" s="343">
        <f>W344-3</f>
        <v>694</v>
      </c>
      <c r="Y344" s="343">
        <f t="shared" si="65"/>
        <v>694</v>
      </c>
      <c r="Z344" s="343"/>
      <c r="AA344" s="37" t="s">
        <v>753</v>
      </c>
      <c r="AB344" s="163">
        <v>697</v>
      </c>
      <c r="AC344" s="314">
        <f t="shared" si="47"/>
        <v>-3</v>
      </c>
      <c r="AD344" s="36"/>
      <c r="AE344" s="36"/>
      <c r="AF344" s="36">
        <v>697</v>
      </c>
      <c r="AG344" s="37"/>
      <c r="AH344" s="37">
        <f t="shared" si="63"/>
        <v>3</v>
      </c>
      <c r="AI344" s="37"/>
      <c r="AJ344" s="37"/>
      <c r="AK344" s="24">
        <f t="shared" si="62"/>
        <v>3</v>
      </c>
      <c r="AL344" s="35">
        <f t="shared" si="59"/>
        <v>-3</v>
      </c>
    </row>
    <row r="345" spans="1:38" s="41" customFormat="1" ht="63.75">
      <c r="A345" s="76">
        <v>22</v>
      </c>
      <c r="B345" s="295" t="s">
        <v>282</v>
      </c>
      <c r="C345" s="75" t="s">
        <v>66</v>
      </c>
      <c r="D345" s="75"/>
      <c r="E345" s="75"/>
      <c r="F345" s="75" t="s">
        <v>243</v>
      </c>
      <c r="G345" s="26" t="s">
        <v>505</v>
      </c>
      <c r="H345" s="343">
        <v>14700</v>
      </c>
      <c r="I345" s="343">
        <v>1470</v>
      </c>
      <c r="J345" s="343"/>
      <c r="K345" s="343">
        <v>1470</v>
      </c>
      <c r="L345" s="343">
        <v>1470</v>
      </c>
      <c r="M345" s="343">
        <v>14155</v>
      </c>
      <c r="N345" s="343"/>
      <c r="O345" s="343">
        <v>14155</v>
      </c>
      <c r="P345" s="343"/>
      <c r="Q345" s="343"/>
      <c r="R345" s="343"/>
      <c r="S345" s="343"/>
      <c r="T345" s="343"/>
      <c r="U345" s="343">
        <v>574</v>
      </c>
      <c r="V345" s="343">
        <f t="shared" si="64"/>
        <v>574</v>
      </c>
      <c r="W345" s="343">
        <f t="shared" si="65"/>
        <v>574</v>
      </c>
      <c r="X345" s="343">
        <f t="shared" si="65"/>
        <v>574</v>
      </c>
      <c r="Y345" s="343">
        <f t="shared" si="65"/>
        <v>574</v>
      </c>
      <c r="Z345" s="343"/>
      <c r="AA345" s="37" t="s">
        <v>753</v>
      </c>
      <c r="AB345" s="163">
        <v>574</v>
      </c>
      <c r="AC345" s="314">
        <f t="shared" si="47"/>
        <v>0</v>
      </c>
      <c r="AD345" s="36"/>
      <c r="AE345" s="36"/>
      <c r="AF345" s="36">
        <v>574</v>
      </c>
      <c r="AG345" s="37"/>
      <c r="AH345" s="37">
        <f t="shared" si="63"/>
        <v>0</v>
      </c>
      <c r="AI345" s="37"/>
      <c r="AJ345" s="37"/>
      <c r="AK345" s="24">
        <f t="shared" si="62"/>
        <v>0</v>
      </c>
      <c r="AL345" s="35">
        <f t="shared" si="59"/>
        <v>0</v>
      </c>
    </row>
    <row r="346" spans="1:38" s="41" customFormat="1" ht="75.75" customHeight="1">
      <c r="A346" s="76">
        <v>23</v>
      </c>
      <c r="B346" s="381" t="s">
        <v>913</v>
      </c>
      <c r="C346" s="75"/>
      <c r="D346" s="75"/>
      <c r="E346" s="75"/>
      <c r="F346" s="75"/>
      <c r="G346" s="75" t="s">
        <v>914</v>
      </c>
      <c r="H346" s="467">
        <v>1432</v>
      </c>
      <c r="I346" s="467">
        <v>1432</v>
      </c>
      <c r="J346" s="343"/>
      <c r="K346" s="343"/>
      <c r="L346" s="343"/>
      <c r="M346" s="343"/>
      <c r="N346" s="343"/>
      <c r="O346" s="343"/>
      <c r="P346" s="343"/>
      <c r="Q346" s="30">
        <v>1073</v>
      </c>
      <c r="R346" s="343"/>
      <c r="S346" s="343"/>
      <c r="T346" s="343"/>
      <c r="U346" s="467">
        <f>I346-Q346</f>
        <v>359</v>
      </c>
      <c r="V346" s="467">
        <f>U346</f>
        <v>359</v>
      </c>
      <c r="W346" s="343">
        <f>V346</f>
        <v>359</v>
      </c>
      <c r="X346" s="343">
        <f t="shared" si="65"/>
        <v>359</v>
      </c>
      <c r="Y346" s="343">
        <f t="shared" si="65"/>
        <v>359</v>
      </c>
      <c r="Z346" s="343"/>
      <c r="AA346" s="37" t="s">
        <v>753</v>
      </c>
      <c r="AB346" s="163">
        <v>359</v>
      </c>
      <c r="AC346" s="314">
        <f t="shared" si="47"/>
        <v>0</v>
      </c>
      <c r="AD346" s="36"/>
      <c r="AE346" s="36"/>
      <c r="AF346" s="36"/>
      <c r="AG346" s="37"/>
      <c r="AH346" s="37">
        <f t="shared" si="63"/>
        <v>0</v>
      </c>
      <c r="AI346" s="37"/>
      <c r="AJ346" s="37"/>
      <c r="AK346" s="24">
        <f t="shared" si="62"/>
        <v>0</v>
      </c>
      <c r="AL346" s="35"/>
    </row>
    <row r="347" spans="1:38" s="41" customFormat="1" ht="63.75">
      <c r="A347" s="76">
        <v>24</v>
      </c>
      <c r="B347" s="295" t="s">
        <v>553</v>
      </c>
      <c r="C347" s="75"/>
      <c r="D347" s="75"/>
      <c r="E347" s="75"/>
      <c r="F347" s="75"/>
      <c r="G347" s="26" t="s">
        <v>554</v>
      </c>
      <c r="H347" s="436">
        <v>123000</v>
      </c>
      <c r="I347" s="436">
        <f>H347-82412</f>
        <v>40588</v>
      </c>
      <c r="J347" s="343"/>
      <c r="K347" s="343"/>
      <c r="L347" s="343"/>
      <c r="M347" s="343"/>
      <c r="N347" s="343"/>
      <c r="O347" s="436">
        <v>113165</v>
      </c>
      <c r="P347" s="436">
        <f>E347+N347</f>
        <v>0</v>
      </c>
      <c r="Q347" s="343">
        <v>800</v>
      </c>
      <c r="R347" s="343"/>
      <c r="S347" s="343"/>
      <c r="T347" s="343"/>
      <c r="U347" s="343">
        <f>2500-800</f>
        <v>1700</v>
      </c>
      <c r="V347" s="343">
        <f t="shared" si="64"/>
        <v>1700</v>
      </c>
      <c r="W347" s="343">
        <f>V347</f>
        <v>1700</v>
      </c>
      <c r="X347" s="343">
        <f>W347</f>
        <v>1700</v>
      </c>
      <c r="Y347" s="343">
        <f>X347</f>
        <v>1700</v>
      </c>
      <c r="Z347" s="343"/>
      <c r="AA347" s="37" t="s">
        <v>753</v>
      </c>
      <c r="AB347" s="163">
        <v>1700</v>
      </c>
      <c r="AC347" s="314">
        <f aca="true" t="shared" si="66" ref="AC347:AC386">+X347-AB347</f>
        <v>0</v>
      </c>
      <c r="AD347" s="36"/>
      <c r="AE347" s="36"/>
      <c r="AF347" s="36"/>
      <c r="AG347" s="37"/>
      <c r="AH347" s="37"/>
      <c r="AI347" s="37"/>
      <c r="AJ347" s="37"/>
      <c r="AK347" s="24"/>
      <c r="AL347" s="35"/>
    </row>
    <row r="348" spans="1:38" s="273" customFormat="1" ht="63.75">
      <c r="A348" s="76">
        <v>25</v>
      </c>
      <c r="B348" s="346" t="s">
        <v>240</v>
      </c>
      <c r="C348" s="54" t="s">
        <v>394</v>
      </c>
      <c r="D348" s="54" t="s">
        <v>241</v>
      </c>
      <c r="E348" s="54"/>
      <c r="F348" s="75" t="s">
        <v>94</v>
      </c>
      <c r="G348" s="75" t="s">
        <v>242</v>
      </c>
      <c r="H348" s="376">
        <v>13000</v>
      </c>
      <c r="I348" s="376">
        <f>H348</f>
        <v>13000</v>
      </c>
      <c r="J348" s="376"/>
      <c r="K348" s="376"/>
      <c r="L348" s="376"/>
      <c r="M348" s="376">
        <v>3000</v>
      </c>
      <c r="N348" s="376"/>
      <c r="O348" s="376">
        <v>2970</v>
      </c>
      <c r="P348" s="343">
        <f>O348</f>
        <v>2970</v>
      </c>
      <c r="Q348" s="393">
        <v>4000</v>
      </c>
      <c r="R348" s="70"/>
      <c r="S348" s="343"/>
      <c r="T348" s="70"/>
      <c r="U348" s="430">
        <v>5434</v>
      </c>
      <c r="V348" s="430">
        <v>5434</v>
      </c>
      <c r="W348" s="440">
        <v>5434</v>
      </c>
      <c r="X348" s="440">
        <v>5430</v>
      </c>
      <c r="Y348" s="440">
        <f aca="true" t="shared" si="67" ref="Y348:Y357">X348</f>
        <v>5430</v>
      </c>
      <c r="Z348" s="343">
        <f>X348</f>
        <v>5430</v>
      </c>
      <c r="AA348" s="37" t="s">
        <v>753</v>
      </c>
      <c r="AB348" s="326">
        <v>5430</v>
      </c>
      <c r="AC348" s="326">
        <f t="shared" si="66"/>
        <v>0</v>
      </c>
      <c r="AD348" s="36">
        <f>X348</f>
        <v>5430</v>
      </c>
      <c r="AE348" s="36"/>
      <c r="AF348" s="36">
        <v>6000</v>
      </c>
      <c r="AG348" s="37"/>
      <c r="AH348" s="37">
        <f aca="true" t="shared" si="68" ref="AH348:AH360">V348-X348</f>
        <v>4</v>
      </c>
      <c r="AI348" s="37"/>
      <c r="AJ348" s="37"/>
      <c r="AK348" s="24">
        <f aca="true" t="shared" si="69" ref="AK348:AK362">W348-Y348</f>
        <v>4</v>
      </c>
      <c r="AL348" s="35">
        <f aca="true" t="shared" si="70" ref="AL348:AL362">+X348-AF348</f>
        <v>-570</v>
      </c>
    </row>
    <row r="349" spans="1:45" s="169" customFormat="1" ht="38.25">
      <c r="A349" s="76">
        <v>26</v>
      </c>
      <c r="B349" s="346" t="s">
        <v>294</v>
      </c>
      <c r="C349" s="54" t="s">
        <v>289</v>
      </c>
      <c r="D349" s="54"/>
      <c r="E349" s="54"/>
      <c r="F349" s="75"/>
      <c r="G349" s="75" t="s">
        <v>295</v>
      </c>
      <c r="H349" s="376">
        <v>14900</v>
      </c>
      <c r="I349" s="376">
        <f>H349</f>
        <v>14900</v>
      </c>
      <c r="J349" s="376"/>
      <c r="K349" s="376"/>
      <c r="L349" s="376"/>
      <c r="M349" s="376">
        <v>12475</v>
      </c>
      <c r="N349" s="376"/>
      <c r="O349" s="376">
        <v>12475</v>
      </c>
      <c r="P349" s="301"/>
      <c r="Q349" s="301">
        <v>1400</v>
      </c>
      <c r="R349" s="301"/>
      <c r="S349" s="257"/>
      <c r="T349" s="257"/>
      <c r="U349" s="384">
        <f>V349</f>
        <v>739</v>
      </c>
      <c r="V349" s="384">
        <v>739</v>
      </c>
      <c r="W349" s="384">
        <v>739</v>
      </c>
      <c r="X349" s="384">
        <v>730</v>
      </c>
      <c r="Y349" s="384">
        <f t="shared" si="67"/>
        <v>730</v>
      </c>
      <c r="Z349" s="301">
        <f>X349</f>
        <v>730</v>
      </c>
      <c r="AA349" s="37" t="s">
        <v>753</v>
      </c>
      <c r="AB349" s="318">
        <v>730</v>
      </c>
      <c r="AC349" s="318">
        <f t="shared" si="66"/>
        <v>0</v>
      </c>
      <c r="AD349" s="36">
        <f>X349</f>
        <v>730</v>
      </c>
      <c r="AE349" s="36"/>
      <c r="AF349" s="36">
        <v>702</v>
      </c>
      <c r="AG349" s="37"/>
      <c r="AH349" s="37">
        <f t="shared" si="68"/>
        <v>9</v>
      </c>
      <c r="AI349" s="37"/>
      <c r="AJ349" s="37"/>
      <c r="AK349" s="24">
        <f t="shared" si="69"/>
        <v>9</v>
      </c>
      <c r="AL349" s="35">
        <f t="shared" si="70"/>
        <v>28</v>
      </c>
      <c r="AM349" s="276"/>
      <c r="AN349" s="167"/>
      <c r="AO349" s="168"/>
      <c r="AP349" s="168"/>
      <c r="AR349" s="170"/>
      <c r="AS349" s="170"/>
    </row>
    <row r="350" spans="1:38" s="273" customFormat="1" ht="57.75" customHeight="1">
      <c r="A350" s="76">
        <v>27</v>
      </c>
      <c r="B350" s="346" t="s">
        <v>962</v>
      </c>
      <c r="C350" s="54" t="s">
        <v>394</v>
      </c>
      <c r="D350" s="54"/>
      <c r="E350" s="54"/>
      <c r="F350" s="75" t="s">
        <v>243</v>
      </c>
      <c r="G350" s="75" t="s">
        <v>244</v>
      </c>
      <c r="H350" s="393">
        <v>14700</v>
      </c>
      <c r="I350" s="376">
        <f>H350</f>
        <v>14700</v>
      </c>
      <c r="J350" s="70"/>
      <c r="K350" s="70"/>
      <c r="L350" s="70"/>
      <c r="M350" s="393">
        <v>11169</v>
      </c>
      <c r="N350" s="343"/>
      <c r="O350" s="393">
        <v>11169</v>
      </c>
      <c r="P350" s="343"/>
      <c r="Q350" s="393">
        <v>2500</v>
      </c>
      <c r="R350" s="70"/>
      <c r="S350" s="343"/>
      <c r="T350" s="70"/>
      <c r="U350" s="393">
        <v>1000</v>
      </c>
      <c r="V350" s="393">
        <v>1000</v>
      </c>
      <c r="W350" s="393">
        <v>1000</v>
      </c>
      <c r="X350" s="393">
        <f>W350</f>
        <v>1000</v>
      </c>
      <c r="Y350" s="393">
        <f t="shared" si="67"/>
        <v>1000</v>
      </c>
      <c r="Z350" s="301">
        <f>X350</f>
        <v>1000</v>
      </c>
      <c r="AA350" s="37" t="s">
        <v>753</v>
      </c>
      <c r="AB350" s="333">
        <v>1000</v>
      </c>
      <c r="AC350" s="333">
        <f t="shared" si="66"/>
        <v>0</v>
      </c>
      <c r="AD350" s="36">
        <f>X350</f>
        <v>1000</v>
      </c>
      <c r="AE350" s="36"/>
      <c r="AF350" s="36">
        <v>1000</v>
      </c>
      <c r="AG350" s="37"/>
      <c r="AH350" s="37">
        <f t="shared" si="68"/>
        <v>0</v>
      </c>
      <c r="AI350" s="37"/>
      <c r="AJ350" s="37"/>
      <c r="AK350" s="24">
        <f t="shared" si="69"/>
        <v>0</v>
      </c>
      <c r="AL350" s="35">
        <f t="shared" si="70"/>
        <v>0</v>
      </c>
    </row>
    <row r="351" spans="1:38" s="41" customFormat="1" ht="50.25" customHeight="1">
      <c r="A351" s="76">
        <v>28</v>
      </c>
      <c r="B351" s="209" t="s">
        <v>191</v>
      </c>
      <c r="C351" s="54" t="s">
        <v>289</v>
      </c>
      <c r="D351" s="54" t="s">
        <v>245</v>
      </c>
      <c r="E351" s="54"/>
      <c r="F351" s="75" t="s">
        <v>246</v>
      </c>
      <c r="G351" s="75" t="s">
        <v>155</v>
      </c>
      <c r="H351" s="393">
        <v>3400</v>
      </c>
      <c r="I351" s="371">
        <f>H351</f>
        <v>3400</v>
      </c>
      <c r="J351" s="72"/>
      <c r="K351" s="72"/>
      <c r="L351" s="72"/>
      <c r="M351" s="72"/>
      <c r="N351" s="72"/>
      <c r="O351" s="72"/>
      <c r="P351" s="72"/>
      <c r="Q351" s="72">
        <v>1200</v>
      </c>
      <c r="R351" s="72"/>
      <c r="S351" s="72"/>
      <c r="T351" s="72"/>
      <c r="U351" s="343">
        <f>H351-M351-Q351</f>
        <v>2200</v>
      </c>
      <c r="V351" s="343">
        <f>U351</f>
        <v>2200</v>
      </c>
      <c r="W351" s="343">
        <f>V351</f>
        <v>2200</v>
      </c>
      <c r="X351" s="343">
        <v>2200</v>
      </c>
      <c r="Y351" s="343">
        <f>X351</f>
        <v>2200</v>
      </c>
      <c r="Z351" s="343">
        <f>X351</f>
        <v>2200</v>
      </c>
      <c r="AA351" s="37" t="s">
        <v>753</v>
      </c>
      <c r="AB351" s="163">
        <v>2200</v>
      </c>
      <c r="AC351" s="314">
        <f>+X351-AB351</f>
        <v>0</v>
      </c>
      <c r="AD351" s="36">
        <f>X351</f>
        <v>2200</v>
      </c>
      <c r="AE351" s="36"/>
      <c r="AF351" s="36">
        <v>1241</v>
      </c>
      <c r="AG351" s="37"/>
      <c r="AH351" s="37">
        <f>V351-X351</f>
        <v>0</v>
      </c>
      <c r="AI351" s="37"/>
      <c r="AJ351" s="37"/>
      <c r="AK351" s="24">
        <f>W351-Y351</f>
        <v>0</v>
      </c>
      <c r="AL351" s="35">
        <f>+X351-AF351</f>
        <v>959</v>
      </c>
    </row>
    <row r="352" spans="1:242" s="40" customFormat="1" ht="51">
      <c r="A352" s="76">
        <v>29</v>
      </c>
      <c r="B352" s="77" t="s">
        <v>398</v>
      </c>
      <c r="C352" s="75" t="s">
        <v>66</v>
      </c>
      <c r="D352" s="26"/>
      <c r="E352" s="26"/>
      <c r="F352" s="13" t="s">
        <v>399</v>
      </c>
      <c r="G352" s="26" t="s">
        <v>809</v>
      </c>
      <c r="H352" s="71">
        <v>19547</v>
      </c>
      <c r="I352" s="71">
        <v>1955</v>
      </c>
      <c r="J352" s="71">
        <f>H352-I352</f>
        <v>17592</v>
      </c>
      <c r="K352" s="71">
        <v>17592</v>
      </c>
      <c r="L352" s="71">
        <f>J352-K352</f>
        <v>0</v>
      </c>
      <c r="M352" s="71"/>
      <c r="N352" s="71"/>
      <c r="O352" s="71">
        <f>H352-I352</f>
        <v>17592</v>
      </c>
      <c r="P352" s="71"/>
      <c r="Q352" s="71"/>
      <c r="R352" s="71"/>
      <c r="S352" s="71"/>
      <c r="T352" s="71"/>
      <c r="U352" s="71">
        <v>1950</v>
      </c>
      <c r="V352" s="71">
        <v>1950</v>
      </c>
      <c r="W352" s="71">
        <f>V352</f>
        <v>1950</v>
      </c>
      <c r="X352" s="71">
        <v>1950</v>
      </c>
      <c r="Y352" s="71">
        <f>X352</f>
        <v>1950</v>
      </c>
      <c r="Z352" s="37" t="s">
        <v>400</v>
      </c>
      <c r="AA352" s="37" t="s">
        <v>753</v>
      </c>
      <c r="AB352" s="164">
        <v>1950</v>
      </c>
      <c r="AC352" s="164">
        <f>+X352-AB352</f>
        <v>0</v>
      </c>
      <c r="AD352" s="36"/>
      <c r="AE352" s="36"/>
      <c r="AF352" s="36">
        <v>1950</v>
      </c>
      <c r="AG352" s="37"/>
      <c r="AH352" s="37">
        <f>V352-X352</f>
        <v>0</v>
      </c>
      <c r="AI352" s="37"/>
      <c r="AJ352" s="37"/>
      <c r="AK352" s="24">
        <f>W352-Y352</f>
        <v>0</v>
      </c>
      <c r="AL352" s="35">
        <f>+X352-AF352</f>
        <v>0</v>
      </c>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c r="HN352" s="31"/>
      <c r="HO352" s="31"/>
      <c r="HP352" s="31"/>
      <c r="HQ352" s="31"/>
      <c r="HR352" s="31"/>
      <c r="HS352" s="31"/>
      <c r="HT352" s="31"/>
      <c r="HU352" s="31"/>
      <c r="HV352" s="31"/>
      <c r="HW352" s="31"/>
      <c r="HX352" s="31"/>
      <c r="HY352" s="31"/>
      <c r="HZ352" s="31"/>
      <c r="IA352" s="31"/>
      <c r="IB352" s="31"/>
      <c r="IC352" s="31"/>
      <c r="ID352" s="31"/>
      <c r="IE352" s="31"/>
      <c r="IF352" s="31"/>
      <c r="IG352" s="31"/>
      <c r="IH352" s="31"/>
    </row>
    <row r="353" spans="1:45" s="169" customFormat="1" ht="44.25" customHeight="1">
      <c r="A353" s="76">
        <v>30</v>
      </c>
      <c r="B353" s="468" t="s">
        <v>18</v>
      </c>
      <c r="C353" s="54" t="s">
        <v>289</v>
      </c>
      <c r="D353" s="25"/>
      <c r="E353" s="25"/>
      <c r="F353" s="75">
        <v>2014</v>
      </c>
      <c r="G353" s="25" t="s">
        <v>250</v>
      </c>
      <c r="H353" s="71">
        <v>1000</v>
      </c>
      <c r="I353" s="71">
        <f>H353</f>
        <v>1000</v>
      </c>
      <c r="J353" s="71"/>
      <c r="K353" s="71"/>
      <c r="L353" s="71"/>
      <c r="M353" s="301"/>
      <c r="N353" s="301"/>
      <c r="O353" s="301"/>
      <c r="P353" s="301"/>
      <c r="Q353" s="301">
        <v>300</v>
      </c>
      <c r="R353" s="301"/>
      <c r="S353" s="257"/>
      <c r="T353" s="257"/>
      <c r="U353" s="301">
        <v>697</v>
      </c>
      <c r="V353" s="301">
        <v>697</v>
      </c>
      <c r="W353" s="301">
        <v>697</v>
      </c>
      <c r="X353" s="301">
        <v>690</v>
      </c>
      <c r="Y353" s="301">
        <f t="shared" si="67"/>
        <v>690</v>
      </c>
      <c r="Z353" s="301"/>
      <c r="AA353" s="37" t="s">
        <v>753</v>
      </c>
      <c r="AB353" s="164">
        <v>690</v>
      </c>
      <c r="AC353" s="164">
        <f t="shared" si="66"/>
        <v>0</v>
      </c>
      <c r="AD353" s="36"/>
      <c r="AE353" s="36"/>
      <c r="AF353" s="42">
        <v>697</v>
      </c>
      <c r="AG353" s="13"/>
      <c r="AH353" s="37">
        <f t="shared" si="68"/>
        <v>7</v>
      </c>
      <c r="AI353" s="37"/>
      <c r="AJ353" s="37"/>
      <c r="AK353" s="24">
        <f t="shared" si="69"/>
        <v>7</v>
      </c>
      <c r="AL353" s="35">
        <f t="shared" si="70"/>
        <v>-7</v>
      </c>
      <c r="AM353" s="276"/>
      <c r="AN353" s="167"/>
      <c r="AO353" s="168"/>
      <c r="AP353" s="168"/>
      <c r="AR353" s="170"/>
      <c r="AS353" s="170"/>
    </row>
    <row r="354" spans="1:45" s="169" customFormat="1" ht="46.5" customHeight="1">
      <c r="A354" s="76">
        <v>31</v>
      </c>
      <c r="B354" s="468" t="s">
        <v>17</v>
      </c>
      <c r="C354" s="54" t="s">
        <v>289</v>
      </c>
      <c r="D354" s="25" t="s">
        <v>247</v>
      </c>
      <c r="E354" s="25"/>
      <c r="F354" s="75" t="s">
        <v>94</v>
      </c>
      <c r="G354" s="25" t="s">
        <v>249</v>
      </c>
      <c r="H354" s="71">
        <v>1500</v>
      </c>
      <c r="I354" s="371">
        <f>H354</f>
        <v>1500</v>
      </c>
      <c r="J354" s="71"/>
      <c r="K354" s="71"/>
      <c r="L354" s="71"/>
      <c r="M354" s="301"/>
      <c r="N354" s="301"/>
      <c r="O354" s="301"/>
      <c r="P354" s="301"/>
      <c r="Q354" s="301">
        <v>380</v>
      </c>
      <c r="R354" s="301"/>
      <c r="S354" s="257"/>
      <c r="T354" s="257"/>
      <c r="U354" s="301">
        <v>1100</v>
      </c>
      <c r="V354" s="301">
        <f aca="true" t="shared" si="71" ref="V354:W359">U354</f>
        <v>1100</v>
      </c>
      <c r="W354" s="301">
        <f t="shared" si="71"/>
        <v>1100</v>
      </c>
      <c r="X354" s="301">
        <v>1100</v>
      </c>
      <c r="Y354" s="301">
        <f>X354</f>
        <v>1100</v>
      </c>
      <c r="Z354" s="301"/>
      <c r="AA354" s="37" t="s">
        <v>753</v>
      </c>
      <c r="AB354" s="164">
        <v>1000</v>
      </c>
      <c r="AC354" s="164">
        <f>+X354-AB354</f>
        <v>100</v>
      </c>
      <c r="AD354" s="36"/>
      <c r="AE354" s="36"/>
      <c r="AF354" s="42">
        <v>1114</v>
      </c>
      <c r="AG354" s="13"/>
      <c r="AH354" s="37">
        <f>V354-X354</f>
        <v>0</v>
      </c>
      <c r="AI354" s="37"/>
      <c r="AJ354" s="37"/>
      <c r="AK354" s="24">
        <f>W354-Y354</f>
        <v>0</v>
      </c>
      <c r="AL354" s="35">
        <f>+X354-AF354</f>
        <v>-14</v>
      </c>
      <c r="AM354" s="276"/>
      <c r="AN354" s="167"/>
      <c r="AO354" s="168"/>
      <c r="AP354" s="168"/>
      <c r="AR354" s="170"/>
      <c r="AS354" s="170"/>
    </row>
    <row r="355" spans="1:45" s="169" customFormat="1" ht="47.25" customHeight="1">
      <c r="A355" s="76">
        <v>32</v>
      </c>
      <c r="B355" s="468" t="s">
        <v>251</v>
      </c>
      <c r="C355" s="54" t="s">
        <v>289</v>
      </c>
      <c r="D355" s="25" t="s">
        <v>247</v>
      </c>
      <c r="E355" s="25"/>
      <c r="F355" s="75" t="s">
        <v>94</v>
      </c>
      <c r="G355" s="25" t="s">
        <v>252</v>
      </c>
      <c r="H355" s="71">
        <v>1500</v>
      </c>
      <c r="I355" s="71">
        <f>H355</f>
        <v>1500</v>
      </c>
      <c r="J355" s="71"/>
      <c r="K355" s="71"/>
      <c r="L355" s="71"/>
      <c r="M355" s="301"/>
      <c r="N355" s="301"/>
      <c r="O355" s="301"/>
      <c r="P355" s="301"/>
      <c r="Q355" s="301">
        <v>380</v>
      </c>
      <c r="R355" s="301"/>
      <c r="S355" s="257"/>
      <c r="T355" s="257"/>
      <c r="U355" s="301">
        <v>1100</v>
      </c>
      <c r="V355" s="301">
        <f t="shared" si="71"/>
        <v>1100</v>
      </c>
      <c r="W355" s="301">
        <f t="shared" si="71"/>
        <v>1100</v>
      </c>
      <c r="X355" s="301">
        <f>W355</f>
        <v>1100</v>
      </c>
      <c r="Y355" s="301">
        <f>X355</f>
        <v>1100</v>
      </c>
      <c r="Z355" s="301"/>
      <c r="AA355" s="37" t="s">
        <v>753</v>
      </c>
      <c r="AB355" s="164">
        <v>1000</v>
      </c>
      <c r="AC355" s="164">
        <f>+X355-AB355</f>
        <v>100</v>
      </c>
      <c r="AD355" s="36"/>
      <c r="AE355" s="36"/>
      <c r="AF355" s="42">
        <v>1023</v>
      </c>
      <c r="AG355" s="13"/>
      <c r="AH355" s="37">
        <f>V355-X355</f>
        <v>0</v>
      </c>
      <c r="AI355" s="37"/>
      <c r="AJ355" s="37"/>
      <c r="AK355" s="24">
        <f>W355-Y355</f>
        <v>0</v>
      </c>
      <c r="AL355" s="35">
        <f>+X355-AF355</f>
        <v>77</v>
      </c>
      <c r="AM355" s="276"/>
      <c r="AN355" s="167"/>
      <c r="AO355" s="168"/>
      <c r="AP355" s="168"/>
      <c r="AR355" s="170"/>
      <c r="AS355" s="170"/>
    </row>
    <row r="356" spans="1:45" s="169" customFormat="1" ht="47.25" customHeight="1">
      <c r="A356" s="76">
        <v>33</v>
      </c>
      <c r="B356" s="468" t="s">
        <v>16</v>
      </c>
      <c r="C356" s="54" t="s">
        <v>289</v>
      </c>
      <c r="D356" s="25" t="s">
        <v>247</v>
      </c>
      <c r="E356" s="25"/>
      <c r="F356" s="75" t="s">
        <v>94</v>
      </c>
      <c r="G356" s="25" t="s">
        <v>248</v>
      </c>
      <c r="H356" s="71">
        <v>1800</v>
      </c>
      <c r="I356" s="371">
        <f>H356</f>
        <v>1800</v>
      </c>
      <c r="J356" s="71"/>
      <c r="K356" s="71"/>
      <c r="L356" s="71"/>
      <c r="M356" s="301"/>
      <c r="N356" s="301"/>
      <c r="O356" s="301"/>
      <c r="P356" s="301"/>
      <c r="Q356" s="301">
        <v>480</v>
      </c>
      <c r="R356" s="301"/>
      <c r="S356" s="257"/>
      <c r="T356" s="257"/>
      <c r="U356" s="301">
        <v>1300</v>
      </c>
      <c r="V356" s="301">
        <f t="shared" si="71"/>
        <v>1300</v>
      </c>
      <c r="W356" s="301">
        <f t="shared" si="71"/>
        <v>1300</v>
      </c>
      <c r="X356" s="301">
        <v>1300</v>
      </c>
      <c r="Y356" s="301">
        <f>X356</f>
        <v>1300</v>
      </c>
      <c r="Z356" s="301"/>
      <c r="AA356" s="37" t="s">
        <v>753</v>
      </c>
      <c r="AB356" s="164">
        <v>1000</v>
      </c>
      <c r="AC356" s="164">
        <f>+X356-AB356</f>
        <v>300</v>
      </c>
      <c r="AD356" s="36"/>
      <c r="AE356" s="36"/>
      <c r="AF356" s="42">
        <v>1319</v>
      </c>
      <c r="AG356" s="13"/>
      <c r="AH356" s="37">
        <f>V356-X356</f>
        <v>0</v>
      </c>
      <c r="AI356" s="37"/>
      <c r="AJ356" s="37"/>
      <c r="AK356" s="24">
        <f>W356-Y356</f>
        <v>0</v>
      </c>
      <c r="AL356" s="35">
        <f>+X356-AF356</f>
        <v>-19</v>
      </c>
      <c r="AM356" s="276"/>
      <c r="AN356" s="167"/>
      <c r="AO356" s="168"/>
      <c r="AP356" s="168"/>
      <c r="AR356" s="170"/>
      <c r="AS356" s="170"/>
    </row>
    <row r="357" spans="1:38" s="263" customFormat="1" ht="48" customHeight="1">
      <c r="A357" s="76">
        <v>34</v>
      </c>
      <c r="B357" s="468" t="s">
        <v>91</v>
      </c>
      <c r="C357" s="54" t="s">
        <v>289</v>
      </c>
      <c r="D357" s="54"/>
      <c r="E357" s="54"/>
      <c r="F357" s="75"/>
      <c r="G357" s="298" t="s">
        <v>92</v>
      </c>
      <c r="H357" s="343">
        <v>2400</v>
      </c>
      <c r="I357" s="72">
        <v>2400</v>
      </c>
      <c r="J357" s="72"/>
      <c r="K357" s="72"/>
      <c r="L357" s="72"/>
      <c r="M357" s="72"/>
      <c r="N357" s="72"/>
      <c r="O357" s="72"/>
      <c r="P357" s="72"/>
      <c r="Q357" s="72">
        <v>580</v>
      </c>
      <c r="R357" s="72">
        <f>Q357</f>
        <v>580</v>
      </c>
      <c r="S357" s="72"/>
      <c r="T357" s="72"/>
      <c r="U357" s="440">
        <v>1800</v>
      </c>
      <c r="V357" s="440">
        <f t="shared" si="71"/>
        <v>1800</v>
      </c>
      <c r="W357" s="440">
        <f t="shared" si="71"/>
        <v>1800</v>
      </c>
      <c r="X357" s="440">
        <f>W357-170</f>
        <v>1630</v>
      </c>
      <c r="Y357" s="440">
        <f t="shared" si="67"/>
        <v>1630</v>
      </c>
      <c r="Z357" s="343"/>
      <c r="AA357" s="37"/>
      <c r="AB357" s="326">
        <v>1000</v>
      </c>
      <c r="AC357" s="326">
        <f t="shared" si="66"/>
        <v>630</v>
      </c>
      <c r="AD357" s="36"/>
      <c r="AE357" s="36"/>
      <c r="AF357" s="42">
        <v>1749</v>
      </c>
      <c r="AG357" s="13"/>
      <c r="AH357" s="37">
        <f t="shared" si="68"/>
        <v>170</v>
      </c>
      <c r="AI357" s="37"/>
      <c r="AJ357" s="37"/>
      <c r="AK357" s="24">
        <f t="shared" si="69"/>
        <v>170</v>
      </c>
      <c r="AL357" s="35">
        <f t="shared" si="70"/>
        <v>-119</v>
      </c>
    </row>
    <row r="358" spans="1:44" s="169" customFormat="1" ht="40.5" customHeight="1">
      <c r="A358" s="76">
        <v>35</v>
      </c>
      <c r="B358" s="209" t="s">
        <v>88</v>
      </c>
      <c r="C358" s="54" t="s">
        <v>66</v>
      </c>
      <c r="D358" s="43"/>
      <c r="E358" s="43"/>
      <c r="F358" s="75"/>
      <c r="G358" s="208" t="s">
        <v>89</v>
      </c>
      <c r="H358" s="299">
        <v>3200</v>
      </c>
      <c r="I358" s="72">
        <v>3200</v>
      </c>
      <c r="J358" s="257"/>
      <c r="K358" s="301"/>
      <c r="L358" s="301"/>
      <c r="M358" s="301"/>
      <c r="N358" s="301"/>
      <c r="O358" s="301"/>
      <c r="P358" s="301"/>
      <c r="Q358" s="301">
        <v>754</v>
      </c>
      <c r="R358" s="301">
        <f>Q358</f>
        <v>754</v>
      </c>
      <c r="S358" s="257"/>
      <c r="T358" s="257"/>
      <c r="U358" s="301">
        <v>2400</v>
      </c>
      <c r="V358" s="301">
        <f t="shared" si="71"/>
        <v>2400</v>
      </c>
      <c r="W358" s="301">
        <f t="shared" si="71"/>
        <v>2400</v>
      </c>
      <c r="X358" s="301">
        <v>2000</v>
      </c>
      <c r="Y358" s="301">
        <f>X358</f>
        <v>2000</v>
      </c>
      <c r="Z358" s="301"/>
      <c r="AA358" s="37"/>
      <c r="AB358" s="164">
        <v>1000</v>
      </c>
      <c r="AC358" s="164">
        <f t="shared" si="66"/>
        <v>1000</v>
      </c>
      <c r="AD358" s="36"/>
      <c r="AE358" s="36"/>
      <c r="AF358" s="42">
        <v>2436</v>
      </c>
      <c r="AG358" s="13"/>
      <c r="AH358" s="37">
        <f t="shared" si="68"/>
        <v>400</v>
      </c>
      <c r="AI358" s="37"/>
      <c r="AJ358" s="37"/>
      <c r="AK358" s="24">
        <f t="shared" si="69"/>
        <v>400</v>
      </c>
      <c r="AL358" s="35">
        <f t="shared" si="70"/>
        <v>-436</v>
      </c>
      <c r="AM358" s="167"/>
      <c r="AN358" s="168"/>
      <c r="AO358" s="168"/>
      <c r="AQ358" s="170"/>
      <c r="AR358" s="170"/>
    </row>
    <row r="359" spans="1:38" s="263" customFormat="1" ht="36" customHeight="1">
      <c r="A359" s="76">
        <v>36</v>
      </c>
      <c r="B359" s="359" t="s">
        <v>162</v>
      </c>
      <c r="C359" s="54" t="s">
        <v>289</v>
      </c>
      <c r="D359" s="54"/>
      <c r="E359" s="54"/>
      <c r="F359" s="75"/>
      <c r="G359" s="469" t="s">
        <v>163</v>
      </c>
      <c r="H359" s="299">
        <v>14600</v>
      </c>
      <c r="I359" s="371">
        <f>H359</f>
        <v>14600</v>
      </c>
      <c r="J359" s="72"/>
      <c r="K359" s="72"/>
      <c r="L359" s="72"/>
      <c r="M359" s="72"/>
      <c r="N359" s="72"/>
      <c r="O359" s="72"/>
      <c r="P359" s="72"/>
      <c r="Q359" s="470">
        <v>3000</v>
      </c>
      <c r="R359" s="72"/>
      <c r="S359" s="72"/>
      <c r="T359" s="470"/>
      <c r="U359" s="343">
        <f>H359-M359-Q359</f>
        <v>11600</v>
      </c>
      <c r="V359" s="343">
        <f t="shared" si="71"/>
        <v>11600</v>
      </c>
      <c r="W359" s="343">
        <f t="shared" si="71"/>
        <v>11600</v>
      </c>
      <c r="X359" s="343">
        <v>8500</v>
      </c>
      <c r="Y359" s="343">
        <f>X359</f>
        <v>8500</v>
      </c>
      <c r="Z359" s="343"/>
      <c r="AA359" s="37" t="s">
        <v>973</v>
      </c>
      <c r="AB359" s="163">
        <v>8500</v>
      </c>
      <c r="AC359" s="314">
        <f>+X359-AB359</f>
        <v>0</v>
      </c>
      <c r="AD359" s="36"/>
      <c r="AE359" s="36"/>
      <c r="AF359" s="36">
        <v>11600</v>
      </c>
      <c r="AG359" s="37"/>
      <c r="AH359" s="37">
        <f>V359-X359</f>
        <v>3100</v>
      </c>
      <c r="AI359" s="37"/>
      <c r="AJ359" s="37"/>
      <c r="AK359" s="24">
        <f>W359-Y359</f>
        <v>3100</v>
      </c>
      <c r="AL359" s="35">
        <f>+X359-AF359</f>
        <v>-3100</v>
      </c>
    </row>
    <row r="360" spans="1:38" s="263" customFormat="1" ht="55.5" customHeight="1">
      <c r="A360" s="76">
        <v>37</v>
      </c>
      <c r="B360" s="359" t="s">
        <v>160</v>
      </c>
      <c r="C360" s="54" t="s">
        <v>289</v>
      </c>
      <c r="D360" s="54"/>
      <c r="E360" s="54"/>
      <c r="F360" s="75"/>
      <c r="G360" s="469" t="s">
        <v>161</v>
      </c>
      <c r="H360" s="299">
        <v>18000</v>
      </c>
      <c r="I360" s="301">
        <f>5650+6700</f>
        <v>12350</v>
      </c>
      <c r="J360" s="72"/>
      <c r="K360" s="72"/>
      <c r="L360" s="72"/>
      <c r="M360" s="299">
        <v>1500</v>
      </c>
      <c r="N360" s="72">
        <f>M360</f>
        <v>1500</v>
      </c>
      <c r="O360" s="299">
        <v>1500</v>
      </c>
      <c r="P360" s="72"/>
      <c r="Q360" s="470">
        <v>1500</v>
      </c>
      <c r="R360" s="470"/>
      <c r="S360" s="72"/>
      <c r="T360" s="470"/>
      <c r="U360" s="343">
        <f>I360-M360</f>
        <v>10850</v>
      </c>
      <c r="V360" s="343">
        <v>10850</v>
      </c>
      <c r="W360" s="343"/>
      <c r="X360" s="343">
        <v>7000</v>
      </c>
      <c r="Y360" s="343"/>
      <c r="Z360" s="343"/>
      <c r="AA360" s="37" t="s">
        <v>966</v>
      </c>
      <c r="AB360" s="163">
        <v>7500</v>
      </c>
      <c r="AC360" s="314">
        <f t="shared" si="66"/>
        <v>-500</v>
      </c>
      <c r="AD360" s="36"/>
      <c r="AE360" s="36"/>
      <c r="AF360" s="36">
        <v>4150</v>
      </c>
      <c r="AG360" s="37"/>
      <c r="AH360" s="37">
        <f t="shared" si="68"/>
        <v>3850</v>
      </c>
      <c r="AI360" s="37"/>
      <c r="AJ360" s="37"/>
      <c r="AK360" s="24">
        <f t="shared" si="69"/>
        <v>0</v>
      </c>
      <c r="AL360" s="35">
        <f t="shared" si="70"/>
        <v>2850</v>
      </c>
    </row>
    <row r="361" spans="1:45" s="169" customFormat="1" ht="51" customHeight="1">
      <c r="A361" s="76">
        <v>38</v>
      </c>
      <c r="B361" s="256" t="s">
        <v>201</v>
      </c>
      <c r="C361" s="54" t="s">
        <v>289</v>
      </c>
      <c r="D361" s="296"/>
      <c r="E361" s="296"/>
      <c r="F361" s="75"/>
      <c r="G361" s="75" t="s">
        <v>202</v>
      </c>
      <c r="H361" s="299">
        <v>27770</v>
      </c>
      <c r="I361" s="301">
        <f>H361-13947</f>
        <v>13823</v>
      </c>
      <c r="J361" s="72"/>
      <c r="K361" s="72"/>
      <c r="L361" s="72"/>
      <c r="M361" s="301">
        <v>13947</v>
      </c>
      <c r="N361" s="301">
        <v>13947</v>
      </c>
      <c r="O361" s="301">
        <v>13947</v>
      </c>
      <c r="P361" s="301">
        <v>13947</v>
      </c>
      <c r="Q361" s="301">
        <v>1000</v>
      </c>
      <c r="R361" s="301">
        <v>0</v>
      </c>
      <c r="S361" s="257"/>
      <c r="T361" s="257"/>
      <c r="U361" s="301">
        <v>11611</v>
      </c>
      <c r="V361" s="301">
        <v>11611</v>
      </c>
      <c r="W361" s="301"/>
      <c r="X361" s="301">
        <v>3000</v>
      </c>
      <c r="Y361" s="301"/>
      <c r="Z361" s="301"/>
      <c r="AA361" s="25" t="s">
        <v>747</v>
      </c>
      <c r="AB361" s="164">
        <v>3000</v>
      </c>
      <c r="AC361" s="164">
        <f>+X361-AB361</f>
        <v>0</v>
      </c>
      <c r="AD361" s="334" t="s">
        <v>59</v>
      </c>
      <c r="AE361" s="334"/>
      <c r="AF361" s="285">
        <v>11611</v>
      </c>
      <c r="AG361" s="25"/>
      <c r="AH361" s="37">
        <f>V361-X361</f>
        <v>8611</v>
      </c>
      <c r="AI361" s="37"/>
      <c r="AJ361" s="37"/>
      <c r="AK361" s="24">
        <f>W361-Y361</f>
        <v>0</v>
      </c>
      <c r="AL361" s="35">
        <f>+X361-AF361</f>
        <v>-8611</v>
      </c>
      <c r="AM361" s="276"/>
      <c r="AN361" s="167"/>
      <c r="AO361" s="168"/>
      <c r="AP361" s="168"/>
      <c r="AR361" s="170"/>
      <c r="AS361" s="170"/>
    </row>
    <row r="362" spans="1:38" s="41" customFormat="1" ht="37.5" customHeight="1">
      <c r="A362" s="76">
        <v>39</v>
      </c>
      <c r="B362" s="77" t="s">
        <v>257</v>
      </c>
      <c r="C362" s="54" t="s">
        <v>289</v>
      </c>
      <c r="D362" s="75"/>
      <c r="E362" s="75"/>
      <c r="F362" s="75"/>
      <c r="G362" s="356" t="s">
        <v>258</v>
      </c>
      <c r="H362" s="436">
        <v>28900</v>
      </c>
      <c r="I362" s="301">
        <v>28900</v>
      </c>
      <c r="J362" s="70"/>
      <c r="K362" s="70"/>
      <c r="L362" s="70"/>
      <c r="M362" s="72">
        <f>8412-1550</f>
        <v>6862</v>
      </c>
      <c r="N362" s="72">
        <v>5300</v>
      </c>
      <c r="O362" s="301">
        <f>8412-1550</f>
        <v>6862</v>
      </c>
      <c r="P362" s="301">
        <v>5300</v>
      </c>
      <c r="Q362" s="350">
        <v>1550</v>
      </c>
      <c r="R362" s="380"/>
      <c r="S362" s="70"/>
      <c r="T362" s="70"/>
      <c r="U362" s="366">
        <f>+V362</f>
        <v>10488</v>
      </c>
      <c r="V362" s="366">
        <f>+I362-O362-Q362-10000</f>
        <v>10488</v>
      </c>
      <c r="W362" s="343">
        <v>1850</v>
      </c>
      <c r="X362" s="366">
        <v>4500</v>
      </c>
      <c r="Y362" s="366">
        <f>W362</f>
        <v>1850</v>
      </c>
      <c r="Z362" s="366"/>
      <c r="AA362" s="37" t="s">
        <v>78</v>
      </c>
      <c r="AB362" s="163">
        <v>1850</v>
      </c>
      <c r="AC362" s="314">
        <f t="shared" si="66"/>
        <v>2650</v>
      </c>
      <c r="AD362" s="36"/>
      <c r="AE362" s="36"/>
      <c r="AF362" s="36">
        <v>4000</v>
      </c>
      <c r="AG362" s="37"/>
      <c r="AH362" s="37">
        <v>6000</v>
      </c>
      <c r="AI362" s="37"/>
      <c r="AJ362" s="37"/>
      <c r="AK362" s="24">
        <f t="shared" si="69"/>
        <v>0</v>
      </c>
      <c r="AL362" s="35">
        <f t="shared" si="70"/>
        <v>500</v>
      </c>
    </row>
    <row r="363" spans="1:243" s="40" customFormat="1" ht="48.75" customHeight="1">
      <c r="A363" s="76">
        <v>40</v>
      </c>
      <c r="B363" s="381" t="s">
        <v>405</v>
      </c>
      <c r="C363" s="26" t="s">
        <v>66</v>
      </c>
      <c r="D363" s="26"/>
      <c r="E363" s="26">
        <f>A363</f>
        <v>40</v>
      </c>
      <c r="F363" s="75">
        <v>2016</v>
      </c>
      <c r="G363" s="75" t="s">
        <v>406</v>
      </c>
      <c r="H363" s="380">
        <v>8000</v>
      </c>
      <c r="I363" s="380">
        <f>H363-6570</f>
        <v>1430</v>
      </c>
      <c r="J363" s="71"/>
      <c r="K363" s="71"/>
      <c r="L363" s="71"/>
      <c r="M363" s="71"/>
      <c r="N363" s="71"/>
      <c r="O363" s="71"/>
      <c r="P363" s="71"/>
      <c r="Q363" s="71"/>
      <c r="R363" s="71"/>
      <c r="S363" s="71"/>
      <c r="T363" s="71"/>
      <c r="U363" s="71">
        <v>1430</v>
      </c>
      <c r="V363" s="71">
        <f>U363</f>
        <v>1430</v>
      </c>
      <c r="W363" s="71"/>
      <c r="X363" s="71">
        <f>V363</f>
        <v>1430</v>
      </c>
      <c r="Y363" s="71"/>
      <c r="Z363" s="71"/>
      <c r="AA363" s="37" t="s">
        <v>992</v>
      </c>
      <c r="AB363" s="164">
        <v>1430</v>
      </c>
      <c r="AC363" s="164">
        <f t="shared" si="66"/>
        <v>0</v>
      </c>
      <c r="AD363" s="36"/>
      <c r="AE363" s="36"/>
      <c r="AF363" s="42"/>
      <c r="AG363" s="13"/>
      <c r="AH363" s="37"/>
      <c r="AI363" s="37"/>
      <c r="AJ363" s="37"/>
      <c r="AK363" s="24"/>
      <c r="AL363" s="35"/>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c r="HN363" s="31"/>
      <c r="HO363" s="31"/>
      <c r="HP363" s="31"/>
      <c r="HQ363" s="31"/>
      <c r="HR363" s="31"/>
      <c r="HS363" s="31"/>
      <c r="HT363" s="31"/>
      <c r="HU363" s="31"/>
      <c r="HV363" s="31"/>
      <c r="HW363" s="31"/>
      <c r="HX363" s="31"/>
      <c r="HY363" s="31"/>
      <c r="HZ363" s="31"/>
      <c r="IA363" s="31"/>
      <c r="IB363" s="31"/>
      <c r="IC363" s="31"/>
      <c r="ID363" s="31"/>
      <c r="IE363" s="31"/>
      <c r="IF363" s="31"/>
      <c r="IG363" s="31"/>
      <c r="IH363" s="31"/>
      <c r="II363" s="31"/>
    </row>
    <row r="364" spans="1:243" s="40" customFormat="1" ht="51.75" customHeight="1">
      <c r="A364" s="76">
        <v>41</v>
      </c>
      <c r="B364" s="381" t="s">
        <v>921</v>
      </c>
      <c r="C364" s="26"/>
      <c r="D364" s="26"/>
      <c r="E364" s="26"/>
      <c r="F364" s="75"/>
      <c r="G364" s="75" t="s">
        <v>922</v>
      </c>
      <c r="H364" s="380">
        <v>17000</v>
      </c>
      <c r="I364" s="380">
        <v>14000</v>
      </c>
      <c r="J364" s="71"/>
      <c r="K364" s="71"/>
      <c r="L364" s="71"/>
      <c r="M364" s="71"/>
      <c r="N364" s="71"/>
      <c r="O364" s="71"/>
      <c r="P364" s="71"/>
      <c r="Q364" s="71"/>
      <c r="R364" s="71"/>
      <c r="S364" s="71"/>
      <c r="T364" s="71"/>
      <c r="U364" s="71">
        <f>H364</f>
        <v>17000</v>
      </c>
      <c r="V364" s="71">
        <f>I364</f>
        <v>14000</v>
      </c>
      <c r="W364" s="71"/>
      <c r="X364" s="71">
        <v>3000</v>
      </c>
      <c r="Y364" s="71"/>
      <c r="Z364" s="71"/>
      <c r="AA364" s="37" t="s">
        <v>965</v>
      </c>
      <c r="AB364" s="164">
        <v>4400</v>
      </c>
      <c r="AC364" s="164">
        <f t="shared" si="66"/>
        <v>-1400</v>
      </c>
      <c r="AD364" s="36"/>
      <c r="AE364" s="36"/>
      <c r="AF364" s="42"/>
      <c r="AG364" s="13"/>
      <c r="AH364" s="37"/>
      <c r="AI364" s="37"/>
      <c r="AJ364" s="37"/>
      <c r="AK364" s="24"/>
      <c r="AL364" s="35"/>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c r="HN364" s="31"/>
      <c r="HO364" s="31"/>
      <c r="HP364" s="31"/>
      <c r="HQ364" s="31"/>
      <c r="HR364" s="31"/>
      <c r="HS364" s="31"/>
      <c r="HT364" s="31"/>
      <c r="HU364" s="31"/>
      <c r="HV364" s="31"/>
      <c r="HW364" s="31"/>
      <c r="HX364" s="31"/>
      <c r="HY364" s="31"/>
      <c r="HZ364" s="31"/>
      <c r="IA364" s="31"/>
      <c r="IB364" s="31"/>
      <c r="IC364" s="31"/>
      <c r="ID364" s="31"/>
      <c r="IE364" s="31"/>
      <c r="IF364" s="31"/>
      <c r="IG364" s="31"/>
      <c r="IH364" s="31"/>
      <c r="II364" s="31"/>
    </row>
    <row r="365" spans="1:243" s="39" customFormat="1" ht="48" customHeight="1">
      <c r="A365" s="76">
        <v>42</v>
      </c>
      <c r="B365" s="24" t="s">
        <v>808</v>
      </c>
      <c r="C365" s="26" t="s">
        <v>289</v>
      </c>
      <c r="D365" s="67"/>
      <c r="E365" s="67"/>
      <c r="F365" s="75" t="s">
        <v>372</v>
      </c>
      <c r="G365" s="356" t="s">
        <v>986</v>
      </c>
      <c r="H365" s="71">
        <v>45600</v>
      </c>
      <c r="I365" s="71">
        <v>35000</v>
      </c>
      <c r="J365" s="71"/>
      <c r="K365" s="71"/>
      <c r="L365" s="71"/>
      <c r="M365" s="71"/>
      <c r="N365" s="71"/>
      <c r="O365" s="71"/>
      <c r="P365" s="71"/>
      <c r="Q365" s="71"/>
      <c r="R365" s="71"/>
      <c r="S365" s="71"/>
      <c r="T365" s="71"/>
      <c r="U365" s="71">
        <v>35000</v>
      </c>
      <c r="V365" s="71">
        <f>U365</f>
        <v>35000</v>
      </c>
      <c r="W365" s="71"/>
      <c r="X365" s="71">
        <f>10812+52-19-826+675</f>
        <v>10694</v>
      </c>
      <c r="Y365" s="430"/>
      <c r="Z365" s="69"/>
      <c r="AA365" s="13" t="s">
        <v>726</v>
      </c>
      <c r="AB365" s="324">
        <v>12162</v>
      </c>
      <c r="AC365" s="324">
        <f t="shared" si="66"/>
        <v>-1468</v>
      </c>
      <c r="AD365" s="36">
        <f>X365</f>
        <v>10694</v>
      </c>
      <c r="AE365" s="36"/>
      <c r="AF365" s="44"/>
      <c r="AG365" s="45"/>
      <c r="AH365" s="37"/>
      <c r="AI365" s="37"/>
      <c r="AJ365" s="37"/>
      <c r="AK365" s="24"/>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5"/>
      <c r="CB365" s="35"/>
      <c r="CC365" s="35"/>
      <c r="CD365" s="35"/>
      <c r="CE365" s="35"/>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c r="DM365" s="35"/>
      <c r="DN365" s="35"/>
      <c r="DO365" s="35"/>
      <c r="DP365" s="35"/>
      <c r="DQ365" s="35"/>
      <c r="DR365" s="35"/>
      <c r="DS365" s="35"/>
      <c r="DT365" s="35"/>
      <c r="DU365" s="35"/>
      <c r="DV365" s="35"/>
      <c r="DW365" s="35"/>
      <c r="DX365" s="35"/>
      <c r="DY365" s="35"/>
      <c r="DZ365" s="35"/>
      <c r="EA365" s="35"/>
      <c r="EB365" s="35"/>
      <c r="EC365" s="35"/>
      <c r="ED365" s="35"/>
      <c r="EE365" s="35"/>
      <c r="EF365" s="35"/>
      <c r="EG365" s="35"/>
      <c r="EH365" s="35"/>
      <c r="EI365" s="35"/>
      <c r="EJ365" s="35"/>
      <c r="EK365" s="35"/>
      <c r="EL365" s="35"/>
      <c r="EM365" s="35"/>
      <c r="EN365" s="35"/>
      <c r="EO365" s="35"/>
      <c r="EP365" s="35"/>
      <c r="EQ365" s="35"/>
      <c r="ER365" s="35"/>
      <c r="ES365" s="35"/>
      <c r="ET365" s="35"/>
      <c r="EU365" s="35"/>
      <c r="EV365" s="35"/>
      <c r="EW365" s="35"/>
      <c r="EX365" s="35"/>
      <c r="EY365" s="35"/>
      <c r="EZ365" s="35"/>
      <c r="FA365" s="35"/>
      <c r="FB365" s="35"/>
      <c r="FC365" s="35"/>
      <c r="FD365" s="35"/>
      <c r="FE365" s="35"/>
      <c r="FF365" s="35"/>
      <c r="FG365" s="35"/>
      <c r="FH365" s="35"/>
      <c r="FI365" s="35"/>
      <c r="FJ365" s="35"/>
      <c r="FK365" s="35"/>
      <c r="FL365" s="35"/>
      <c r="FM365" s="35"/>
      <c r="FN365" s="35"/>
      <c r="FO365" s="35"/>
      <c r="FP365" s="35"/>
      <c r="FQ365" s="35"/>
      <c r="FR365" s="35"/>
      <c r="FS365" s="35"/>
      <c r="FT365" s="35"/>
      <c r="FU365" s="35"/>
      <c r="FV365" s="35"/>
      <c r="FW365" s="35"/>
      <c r="FX365" s="35"/>
      <c r="FY365" s="35"/>
      <c r="FZ365" s="35"/>
      <c r="GA365" s="35"/>
      <c r="GB365" s="35"/>
      <c r="GC365" s="35"/>
      <c r="GD365" s="35"/>
      <c r="GE365" s="35"/>
      <c r="GF365" s="35"/>
      <c r="GG365" s="35"/>
      <c r="GH365" s="35"/>
      <c r="GI365" s="35"/>
      <c r="GJ365" s="35"/>
      <c r="GK365" s="35"/>
      <c r="GL365" s="35"/>
      <c r="GM365" s="35"/>
      <c r="GN365" s="35"/>
      <c r="GO365" s="35"/>
      <c r="GP365" s="35"/>
      <c r="GQ365" s="35"/>
      <c r="GR365" s="35"/>
      <c r="GS365" s="35"/>
      <c r="GT365" s="35"/>
      <c r="GU365" s="35"/>
      <c r="GV365" s="35"/>
      <c r="GW365" s="35"/>
      <c r="GX365" s="35"/>
      <c r="GY365" s="35"/>
      <c r="GZ365" s="35"/>
      <c r="HA365" s="35"/>
      <c r="HB365" s="35"/>
      <c r="HC365" s="35"/>
      <c r="HD365" s="35"/>
      <c r="HE365" s="35"/>
      <c r="HF365" s="35"/>
      <c r="HG365" s="35"/>
      <c r="HH365" s="35"/>
      <c r="HI365" s="35"/>
      <c r="HJ365" s="35"/>
      <c r="HK365" s="35"/>
      <c r="HL365" s="35"/>
      <c r="HM365" s="35"/>
      <c r="HN365" s="35"/>
      <c r="HO365" s="35"/>
      <c r="HP365" s="35"/>
      <c r="HQ365" s="35"/>
      <c r="HR365" s="35"/>
      <c r="HS365" s="35"/>
      <c r="HT365" s="35"/>
      <c r="HU365" s="35"/>
      <c r="HV365" s="35"/>
      <c r="HW365" s="35"/>
      <c r="HX365" s="35"/>
      <c r="HY365" s="35"/>
      <c r="HZ365" s="35"/>
      <c r="IA365" s="35"/>
      <c r="IB365" s="35"/>
      <c r="IC365" s="35"/>
      <c r="ID365" s="35"/>
      <c r="IE365" s="35"/>
      <c r="IF365" s="35"/>
      <c r="IG365" s="35"/>
      <c r="IH365" s="35"/>
      <c r="II365" s="35"/>
    </row>
    <row r="366" spans="1:243" s="40" customFormat="1" ht="50.25" customHeight="1">
      <c r="A366" s="76">
        <v>43</v>
      </c>
      <c r="B366" s="471" t="s">
        <v>552</v>
      </c>
      <c r="C366" s="13" t="s">
        <v>551</v>
      </c>
      <c r="D366" s="26"/>
      <c r="E366" s="26"/>
      <c r="F366" s="75" t="s">
        <v>372</v>
      </c>
      <c r="G366" s="356" t="s">
        <v>934</v>
      </c>
      <c r="H366" s="71">
        <v>20000</v>
      </c>
      <c r="I366" s="71">
        <v>20000</v>
      </c>
      <c r="J366" s="71"/>
      <c r="K366" s="71"/>
      <c r="L366" s="71"/>
      <c r="M366" s="71"/>
      <c r="N366" s="71"/>
      <c r="O366" s="71"/>
      <c r="P366" s="71"/>
      <c r="Q366" s="71"/>
      <c r="R366" s="71"/>
      <c r="S366" s="71"/>
      <c r="T366" s="71"/>
      <c r="U366" s="71">
        <v>20000</v>
      </c>
      <c r="V366" s="71">
        <f>U366</f>
        <v>20000</v>
      </c>
      <c r="W366" s="71"/>
      <c r="X366" s="73">
        <v>5000</v>
      </c>
      <c r="Y366" s="71"/>
      <c r="Z366" s="71"/>
      <c r="AA366" s="13" t="s">
        <v>726</v>
      </c>
      <c r="AB366" s="312"/>
      <c r="AC366" s="313">
        <f t="shared" si="66"/>
        <v>5000</v>
      </c>
      <c r="AD366" s="42"/>
      <c r="AE366" s="42"/>
      <c r="AF366" s="42">
        <f>+V366*0.35</f>
        <v>7000</v>
      </c>
      <c r="AG366" s="13"/>
      <c r="AH366" s="37"/>
      <c r="AI366" s="37"/>
      <c r="AJ366" s="37"/>
      <c r="AK366" s="24"/>
      <c r="AL366" s="38">
        <f>+AF366-X366</f>
        <v>2000</v>
      </c>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c r="DV366" s="38"/>
      <c r="DW366" s="38"/>
      <c r="DX366" s="38"/>
      <c r="DY366" s="38"/>
      <c r="DZ366" s="38"/>
      <c r="EA366" s="38"/>
      <c r="EB366" s="38"/>
      <c r="EC366" s="38"/>
      <c r="ED366" s="38"/>
      <c r="EE366" s="38"/>
      <c r="EF366" s="38"/>
      <c r="EG366" s="38"/>
      <c r="EH366" s="38"/>
      <c r="EI366" s="38"/>
      <c r="EJ366" s="38"/>
      <c r="EK366" s="38"/>
      <c r="EL366" s="38"/>
      <c r="EM366" s="38"/>
      <c r="EN366" s="38"/>
      <c r="EO366" s="38"/>
      <c r="EP366" s="38"/>
      <c r="EQ366" s="38"/>
      <c r="ER366" s="38"/>
      <c r="ES366" s="38"/>
      <c r="ET366" s="38"/>
      <c r="EU366" s="38"/>
      <c r="EV366" s="38"/>
      <c r="EW366" s="38"/>
      <c r="EX366" s="38"/>
      <c r="EY366" s="38"/>
      <c r="EZ366" s="38"/>
      <c r="FA366" s="38"/>
      <c r="FB366" s="38"/>
      <c r="FC366" s="38"/>
      <c r="FD366" s="38"/>
      <c r="FE366" s="38"/>
      <c r="FF366" s="38"/>
      <c r="FG366" s="38"/>
      <c r="FH366" s="38"/>
      <c r="FI366" s="38"/>
      <c r="FJ366" s="38"/>
      <c r="FK366" s="38"/>
      <c r="FL366" s="38"/>
      <c r="FM366" s="38"/>
      <c r="FN366" s="38"/>
      <c r="FO366" s="38"/>
      <c r="FP366" s="38"/>
      <c r="FQ366" s="38"/>
      <c r="FR366" s="38"/>
      <c r="FS366" s="38"/>
      <c r="FT366" s="38"/>
      <c r="FU366" s="38"/>
      <c r="FV366" s="38"/>
      <c r="FW366" s="38"/>
      <c r="FX366" s="38"/>
      <c r="FY366" s="38"/>
      <c r="FZ366" s="38"/>
      <c r="GA366" s="38"/>
      <c r="GB366" s="38"/>
      <c r="GC366" s="38"/>
      <c r="GD366" s="38"/>
      <c r="GE366" s="38"/>
      <c r="GF366" s="38"/>
      <c r="GG366" s="38"/>
      <c r="GH366" s="38"/>
      <c r="GI366" s="38"/>
      <c r="GJ366" s="38"/>
      <c r="GK366" s="38"/>
      <c r="GL366" s="38"/>
      <c r="GM366" s="38"/>
      <c r="GN366" s="38"/>
      <c r="GO366" s="38"/>
      <c r="GP366" s="38"/>
      <c r="GQ366" s="38"/>
      <c r="GR366" s="38"/>
      <c r="GS366" s="38"/>
      <c r="GT366" s="38"/>
      <c r="GU366" s="38"/>
      <c r="GV366" s="38"/>
      <c r="GW366" s="38"/>
      <c r="GX366" s="38"/>
      <c r="GY366" s="38"/>
      <c r="GZ366" s="38"/>
      <c r="HA366" s="38"/>
      <c r="HB366" s="38"/>
      <c r="HC366" s="38"/>
      <c r="HD366" s="38"/>
      <c r="HE366" s="38"/>
      <c r="HF366" s="38"/>
      <c r="HG366" s="38"/>
      <c r="HH366" s="38"/>
      <c r="HI366" s="38"/>
      <c r="HJ366" s="38"/>
      <c r="HK366" s="38"/>
      <c r="HL366" s="38"/>
      <c r="HM366" s="38"/>
      <c r="HN366" s="38"/>
      <c r="HO366" s="38"/>
      <c r="HP366" s="38"/>
      <c r="HQ366" s="38"/>
      <c r="HR366" s="38"/>
      <c r="HS366" s="38"/>
      <c r="HT366" s="38"/>
      <c r="HU366" s="38"/>
      <c r="HV366" s="38"/>
      <c r="HW366" s="38"/>
      <c r="HX366" s="38"/>
      <c r="HY366" s="38"/>
      <c r="HZ366" s="38"/>
      <c r="IA366" s="38"/>
      <c r="IB366" s="38"/>
      <c r="IC366" s="38"/>
      <c r="ID366" s="38"/>
      <c r="IE366" s="38"/>
      <c r="IF366" s="38"/>
      <c r="IG366" s="38"/>
      <c r="IH366" s="38"/>
      <c r="II366" s="38"/>
    </row>
    <row r="367" spans="1:243" s="40" customFormat="1" ht="25.5" hidden="1">
      <c r="A367" s="76">
        <v>2</v>
      </c>
      <c r="B367" s="359" t="s">
        <v>735</v>
      </c>
      <c r="C367" s="26"/>
      <c r="D367" s="26"/>
      <c r="E367" s="26"/>
      <c r="F367" s="75"/>
      <c r="G367" s="75"/>
      <c r="H367" s="71"/>
      <c r="I367" s="71"/>
      <c r="J367" s="71"/>
      <c r="K367" s="71"/>
      <c r="L367" s="71"/>
      <c r="M367" s="71"/>
      <c r="N367" s="71"/>
      <c r="O367" s="71"/>
      <c r="P367" s="71"/>
      <c r="Q367" s="71"/>
      <c r="R367" s="71"/>
      <c r="S367" s="71"/>
      <c r="T367" s="71"/>
      <c r="U367" s="71"/>
      <c r="V367" s="71"/>
      <c r="W367" s="71"/>
      <c r="X367" s="73"/>
      <c r="Y367" s="71"/>
      <c r="Z367" s="71"/>
      <c r="AA367" s="13" t="s">
        <v>840</v>
      </c>
      <c r="AB367" s="312">
        <v>190</v>
      </c>
      <c r="AC367" s="313">
        <f t="shared" si="66"/>
        <v>-190</v>
      </c>
      <c r="AD367" s="42"/>
      <c r="AE367" s="42"/>
      <c r="AF367" s="42"/>
      <c r="AG367" s="13"/>
      <c r="AH367" s="37"/>
      <c r="AI367" s="37"/>
      <c r="AJ367" s="37"/>
      <c r="AK367" s="24"/>
      <c r="AL367" s="35"/>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c r="HN367" s="31"/>
      <c r="HO367" s="31"/>
      <c r="HP367" s="31"/>
      <c r="HQ367" s="31"/>
      <c r="HR367" s="31"/>
      <c r="HS367" s="31"/>
      <c r="HT367" s="31"/>
      <c r="HU367" s="31"/>
      <c r="HV367" s="31"/>
      <c r="HW367" s="31"/>
      <c r="HX367" s="31"/>
      <c r="HY367" s="31"/>
      <c r="HZ367" s="31"/>
      <c r="IA367" s="31"/>
      <c r="IB367" s="31"/>
      <c r="IC367" s="31"/>
      <c r="ID367" s="31"/>
      <c r="IE367" s="31"/>
      <c r="IF367" s="31"/>
      <c r="IG367" s="31"/>
      <c r="IH367" s="31"/>
      <c r="II367" s="31"/>
    </row>
    <row r="368" spans="1:243" s="40" customFormat="1" ht="37.5" customHeight="1">
      <c r="A368" s="76">
        <v>44</v>
      </c>
      <c r="B368" s="381" t="s">
        <v>743</v>
      </c>
      <c r="C368" s="26"/>
      <c r="D368" s="26"/>
      <c r="E368" s="26"/>
      <c r="F368" s="75"/>
      <c r="G368" s="75"/>
      <c r="H368" s="71">
        <f>'5d-DoiUngODA'!G13</f>
        <v>2234994.8510000003</v>
      </c>
      <c r="I368" s="71">
        <f>'5d-DoiUngODA'!H13</f>
        <v>116749.95999999999</v>
      </c>
      <c r="J368" s="71">
        <f>'5d-DoiUngODA'!I13</f>
        <v>0</v>
      </c>
      <c r="K368" s="71">
        <f>'5d-DoiUngODA'!J13</f>
        <v>0</v>
      </c>
      <c r="L368" s="71">
        <f>'5d-DoiUngODA'!K13</f>
        <v>0</v>
      </c>
      <c r="M368" s="71">
        <f>'5d-DoiUngODA'!L13</f>
        <v>0</v>
      </c>
      <c r="N368" s="71">
        <f>'5d-DoiUngODA'!M13</f>
        <v>0</v>
      </c>
      <c r="O368" s="71">
        <f>'5d-DoiUngODA'!N13</f>
        <v>721465.99</v>
      </c>
      <c r="P368" s="71">
        <f>'5d-DoiUngODA'!O13</f>
        <v>10104</v>
      </c>
      <c r="Q368" s="71">
        <f>'5d-DoiUngODA'!P13</f>
        <v>60202</v>
      </c>
      <c r="R368" s="71">
        <f>'5d-DoiUngODA'!Q13</f>
        <v>0</v>
      </c>
      <c r="S368" s="71">
        <f>'5d-DoiUngODA'!R13</f>
        <v>0</v>
      </c>
      <c r="T368" s="71">
        <f>'5d-DoiUngODA'!S13</f>
        <v>0</v>
      </c>
      <c r="U368" s="71">
        <f>'5d-DoiUngODA'!T13</f>
        <v>112202.46820833001</v>
      </c>
      <c r="V368" s="71">
        <f>'5d-DoiUngODA'!U13</f>
        <v>90885.06</v>
      </c>
      <c r="W368" s="71">
        <f>'5d-DoiUngODA'!V13</f>
        <v>37249.80820833</v>
      </c>
      <c r="X368" s="71">
        <f>'5d-DoiUngODA'!W13</f>
        <v>36029.808208329996</v>
      </c>
      <c r="Y368" s="71">
        <f>'5d-DoiUngODA'!X13</f>
        <v>23096.80820833</v>
      </c>
      <c r="Z368" s="71"/>
      <c r="AA368" s="13" t="s">
        <v>998</v>
      </c>
      <c r="AB368" s="164">
        <v>36515.808208329996</v>
      </c>
      <c r="AC368" s="164">
        <f t="shared" si="66"/>
        <v>-486</v>
      </c>
      <c r="AD368" s="42">
        <f>'5d-DoiUngODA'!W22</f>
        <v>8206</v>
      </c>
      <c r="AE368" s="42"/>
      <c r="AF368" s="42"/>
      <c r="AG368" s="13"/>
      <c r="AH368" s="37"/>
      <c r="AI368" s="37"/>
      <c r="AJ368" s="37"/>
      <c r="AK368" s="24"/>
      <c r="AL368" s="35"/>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c r="HN368" s="31"/>
      <c r="HO368" s="31"/>
      <c r="HP368" s="31"/>
      <c r="HQ368" s="31"/>
      <c r="HR368" s="31"/>
      <c r="HS368" s="31"/>
      <c r="HT368" s="31"/>
      <c r="HU368" s="31"/>
      <c r="HV368" s="31"/>
      <c r="HW368" s="31"/>
      <c r="HX368" s="31"/>
      <c r="HY368" s="31"/>
      <c r="HZ368" s="31"/>
      <c r="IA368" s="31"/>
      <c r="IB368" s="31"/>
      <c r="IC368" s="31"/>
      <c r="ID368" s="31"/>
      <c r="IE368" s="31"/>
      <c r="IF368" s="31"/>
      <c r="IG368" s="31"/>
      <c r="IH368" s="31"/>
      <c r="II368" s="31"/>
    </row>
    <row r="369" spans="1:243" s="39" customFormat="1" ht="60" customHeight="1">
      <c r="A369" s="449" t="s">
        <v>745</v>
      </c>
      <c r="B369" s="472" t="s">
        <v>987</v>
      </c>
      <c r="C369" s="67"/>
      <c r="D369" s="67"/>
      <c r="E369" s="67"/>
      <c r="F369" s="6"/>
      <c r="G369" s="69"/>
      <c r="H369" s="69">
        <f aca="true" t="shared" si="72" ref="H369:Y369">SUM(H370:H384)</f>
        <v>1377938</v>
      </c>
      <c r="I369" s="69">
        <f t="shared" si="72"/>
        <v>292133</v>
      </c>
      <c r="J369" s="69">
        <f t="shared" si="72"/>
        <v>0</v>
      </c>
      <c r="K369" s="69">
        <f t="shared" si="72"/>
        <v>116424</v>
      </c>
      <c r="L369" s="69">
        <f t="shared" si="72"/>
        <v>16578</v>
      </c>
      <c r="M369" s="69">
        <f t="shared" si="72"/>
        <v>193177</v>
      </c>
      <c r="N369" s="69">
        <f t="shared" si="72"/>
        <v>32256</v>
      </c>
      <c r="O369" s="69">
        <f t="shared" si="72"/>
        <v>235642.42599999998</v>
      </c>
      <c r="P369" s="69">
        <f t="shared" si="72"/>
        <v>11871</v>
      </c>
      <c r="Q369" s="69">
        <f t="shared" si="72"/>
        <v>77524</v>
      </c>
      <c r="R369" s="69">
        <f t="shared" si="72"/>
        <v>8824</v>
      </c>
      <c r="S369" s="69">
        <f t="shared" si="72"/>
        <v>0</v>
      </c>
      <c r="T369" s="69">
        <f t="shared" si="72"/>
        <v>0</v>
      </c>
      <c r="U369" s="69">
        <f t="shared" si="72"/>
        <v>1076070.862</v>
      </c>
      <c r="V369" s="69">
        <f t="shared" si="72"/>
        <v>230421.862</v>
      </c>
      <c r="W369" s="69">
        <f t="shared" si="72"/>
        <v>32703.862000000005</v>
      </c>
      <c r="X369" s="69">
        <f t="shared" si="72"/>
        <v>60229.862</v>
      </c>
      <c r="Y369" s="69">
        <f t="shared" si="72"/>
        <v>25703.862000000005</v>
      </c>
      <c r="Z369" s="69"/>
      <c r="AA369" s="45">
        <f>'[4]Sheet1'!$B$7</f>
        <v>60230</v>
      </c>
      <c r="AB369" s="329">
        <v>60229.862</v>
      </c>
      <c r="AC369" s="329">
        <f t="shared" si="66"/>
        <v>0</v>
      </c>
      <c r="AD369" s="44"/>
      <c r="AE369" s="44"/>
      <c r="AF369" s="44" t="s">
        <v>803</v>
      </c>
      <c r="AG369" s="45"/>
      <c r="AH369" s="33"/>
      <c r="AI369" s="33"/>
      <c r="AJ369" s="33"/>
      <c r="AK369" s="34"/>
      <c r="AL369" s="35"/>
      <c r="AM369" s="169"/>
      <c r="AN369" s="169"/>
      <c r="AO369" s="169"/>
      <c r="AP369" s="169"/>
      <c r="AQ369" s="169"/>
      <c r="AR369" s="169"/>
      <c r="AS369" s="169"/>
      <c r="AT369" s="169"/>
      <c r="AU369" s="169"/>
      <c r="AV369" s="169"/>
      <c r="AW369" s="169"/>
      <c r="AX369" s="169"/>
      <c r="AY369" s="169"/>
      <c r="AZ369" s="169"/>
      <c r="BA369" s="169"/>
      <c r="BB369" s="169"/>
      <c r="BC369" s="169"/>
      <c r="BD369" s="169"/>
      <c r="BE369" s="169"/>
      <c r="BF369" s="169"/>
      <c r="BG369" s="169"/>
      <c r="BH369" s="169"/>
      <c r="BI369" s="169"/>
      <c r="BJ369" s="169"/>
      <c r="BK369" s="169"/>
      <c r="BL369" s="169"/>
      <c r="BM369" s="169"/>
      <c r="BN369" s="169"/>
      <c r="BO369" s="169"/>
      <c r="BP369" s="169"/>
      <c r="BQ369" s="169"/>
      <c r="BR369" s="169"/>
      <c r="BS369" s="169"/>
      <c r="BT369" s="169"/>
      <c r="BU369" s="169"/>
      <c r="BV369" s="169"/>
      <c r="BW369" s="169"/>
      <c r="BX369" s="169"/>
      <c r="BY369" s="169"/>
      <c r="BZ369" s="169"/>
      <c r="CA369" s="169"/>
      <c r="CB369" s="169"/>
      <c r="CC369" s="169"/>
      <c r="CD369" s="169"/>
      <c r="CE369" s="169"/>
      <c r="CF369" s="169"/>
      <c r="CG369" s="169"/>
      <c r="CH369" s="169"/>
      <c r="CI369" s="169"/>
      <c r="CJ369" s="169"/>
      <c r="CK369" s="169"/>
      <c r="CL369" s="169"/>
      <c r="CM369" s="169"/>
      <c r="CN369" s="169"/>
      <c r="CO369" s="169"/>
      <c r="CP369" s="169"/>
      <c r="CQ369" s="169"/>
      <c r="CR369" s="169"/>
      <c r="CS369" s="169"/>
      <c r="CT369" s="169"/>
      <c r="CU369" s="169"/>
      <c r="CV369" s="169"/>
      <c r="CW369" s="169"/>
      <c r="CX369" s="169"/>
      <c r="CY369" s="169"/>
      <c r="CZ369" s="169"/>
      <c r="DA369" s="169"/>
      <c r="DB369" s="169"/>
      <c r="DC369" s="169"/>
      <c r="DD369" s="169"/>
      <c r="DE369" s="169"/>
      <c r="DF369" s="169"/>
      <c r="DG369" s="169"/>
      <c r="DH369" s="169"/>
      <c r="DI369" s="169"/>
      <c r="DJ369" s="169"/>
      <c r="DK369" s="169"/>
      <c r="DL369" s="169"/>
      <c r="DM369" s="169"/>
      <c r="DN369" s="169"/>
      <c r="DO369" s="169"/>
      <c r="DP369" s="169"/>
      <c r="DQ369" s="169"/>
      <c r="DR369" s="169"/>
      <c r="DS369" s="169"/>
      <c r="DT369" s="169"/>
      <c r="DU369" s="169"/>
      <c r="DV369" s="169"/>
      <c r="DW369" s="169"/>
      <c r="DX369" s="169"/>
      <c r="DY369" s="169"/>
      <c r="DZ369" s="169"/>
      <c r="EA369" s="169"/>
      <c r="EB369" s="169"/>
      <c r="EC369" s="169"/>
      <c r="ED369" s="169"/>
      <c r="EE369" s="169"/>
      <c r="EF369" s="169"/>
      <c r="EG369" s="169"/>
      <c r="EH369" s="169"/>
      <c r="EI369" s="169"/>
      <c r="EJ369" s="169"/>
      <c r="EK369" s="169"/>
      <c r="EL369" s="169"/>
      <c r="EM369" s="169"/>
      <c r="EN369" s="169"/>
      <c r="EO369" s="169"/>
      <c r="EP369" s="169"/>
      <c r="EQ369" s="169"/>
      <c r="ER369" s="169"/>
      <c r="ES369" s="169"/>
      <c r="ET369" s="169"/>
      <c r="EU369" s="169"/>
      <c r="EV369" s="169"/>
      <c r="EW369" s="169"/>
      <c r="EX369" s="169"/>
      <c r="EY369" s="169"/>
      <c r="EZ369" s="169"/>
      <c r="FA369" s="169"/>
      <c r="FB369" s="169"/>
      <c r="FC369" s="169"/>
      <c r="FD369" s="169"/>
      <c r="FE369" s="169"/>
      <c r="FF369" s="169"/>
      <c r="FG369" s="169"/>
      <c r="FH369" s="169"/>
      <c r="FI369" s="169"/>
      <c r="FJ369" s="169"/>
      <c r="FK369" s="169"/>
      <c r="FL369" s="169"/>
      <c r="FM369" s="169"/>
      <c r="FN369" s="169"/>
      <c r="FO369" s="169"/>
      <c r="FP369" s="169"/>
      <c r="FQ369" s="169"/>
      <c r="FR369" s="169"/>
      <c r="FS369" s="169"/>
      <c r="FT369" s="169"/>
      <c r="FU369" s="169"/>
      <c r="FV369" s="169"/>
      <c r="FW369" s="169"/>
      <c r="FX369" s="169"/>
      <c r="FY369" s="169"/>
      <c r="FZ369" s="169"/>
      <c r="GA369" s="169"/>
      <c r="GB369" s="169"/>
      <c r="GC369" s="169"/>
      <c r="GD369" s="169"/>
      <c r="GE369" s="169"/>
      <c r="GF369" s="169"/>
      <c r="GG369" s="169"/>
      <c r="GH369" s="169"/>
      <c r="GI369" s="169"/>
      <c r="GJ369" s="169"/>
      <c r="GK369" s="169"/>
      <c r="GL369" s="169"/>
      <c r="GM369" s="169"/>
      <c r="GN369" s="169"/>
      <c r="GO369" s="169"/>
      <c r="GP369" s="169"/>
      <c r="GQ369" s="169"/>
      <c r="GR369" s="169"/>
      <c r="GS369" s="169"/>
      <c r="GT369" s="169"/>
      <c r="GU369" s="169"/>
      <c r="GV369" s="169"/>
      <c r="GW369" s="169"/>
      <c r="GX369" s="169"/>
      <c r="GY369" s="169"/>
      <c r="GZ369" s="169"/>
      <c r="HA369" s="169"/>
      <c r="HB369" s="169"/>
      <c r="HC369" s="169"/>
      <c r="HD369" s="169"/>
      <c r="HE369" s="169"/>
      <c r="HF369" s="169"/>
      <c r="HG369" s="169"/>
      <c r="HH369" s="169"/>
      <c r="HI369" s="169"/>
      <c r="HJ369" s="169"/>
      <c r="HK369" s="169"/>
      <c r="HL369" s="169"/>
      <c r="HM369" s="169"/>
      <c r="HN369" s="169"/>
      <c r="HO369" s="169"/>
      <c r="HP369" s="169"/>
      <c r="HQ369" s="169"/>
      <c r="HR369" s="169"/>
      <c r="HS369" s="169"/>
      <c r="HT369" s="169"/>
      <c r="HU369" s="169"/>
      <c r="HV369" s="169"/>
      <c r="HW369" s="169"/>
      <c r="HX369" s="169"/>
      <c r="HY369" s="169"/>
      <c r="HZ369" s="169"/>
      <c r="IA369" s="169"/>
      <c r="IB369" s="169"/>
      <c r="IC369" s="169"/>
      <c r="ID369" s="169"/>
      <c r="IE369" s="169"/>
      <c r="IF369" s="169"/>
      <c r="IG369" s="169"/>
      <c r="IH369" s="169"/>
      <c r="II369" s="169"/>
    </row>
    <row r="370" spans="1:38" s="38" customFormat="1" ht="50.25" customHeight="1">
      <c r="A370" s="76">
        <v>1</v>
      </c>
      <c r="B370" s="346" t="s">
        <v>512</v>
      </c>
      <c r="C370" s="26" t="s">
        <v>319</v>
      </c>
      <c r="D370" s="26"/>
      <c r="E370" s="26"/>
      <c r="F370" s="26" t="s">
        <v>513</v>
      </c>
      <c r="G370" s="75" t="s">
        <v>511</v>
      </c>
      <c r="H370" s="473">
        <v>841000</v>
      </c>
      <c r="I370" s="473">
        <v>126150</v>
      </c>
      <c r="J370" s="71"/>
      <c r="K370" s="71"/>
      <c r="L370" s="71"/>
      <c r="M370" s="71"/>
      <c r="N370" s="71"/>
      <c r="O370" s="71"/>
      <c r="P370" s="71"/>
      <c r="Q370" s="73">
        <v>28000</v>
      </c>
      <c r="R370" s="71"/>
      <c r="S370" s="71"/>
      <c r="T370" s="71"/>
      <c r="U370" s="73">
        <f>H370-Q370</f>
        <v>813000</v>
      </c>
      <c r="V370" s="73">
        <f>I370-3000</f>
        <v>123150</v>
      </c>
      <c r="W370" s="73">
        <v>17000</v>
      </c>
      <c r="X370" s="73">
        <v>10000</v>
      </c>
      <c r="Y370" s="73">
        <f>X370</f>
        <v>10000</v>
      </c>
      <c r="Z370" s="73"/>
      <c r="AA370" s="37" t="s">
        <v>964</v>
      </c>
      <c r="AB370" s="312">
        <v>10000</v>
      </c>
      <c r="AC370" s="313">
        <f t="shared" si="66"/>
        <v>0</v>
      </c>
      <c r="AD370" s="36"/>
      <c r="AE370" s="36"/>
      <c r="AF370" s="36">
        <v>27000</v>
      </c>
      <c r="AG370" s="37"/>
      <c r="AH370" s="37"/>
      <c r="AI370" s="37"/>
      <c r="AJ370" s="37"/>
      <c r="AK370" s="24"/>
      <c r="AL370" s="35">
        <f>+X370-AF370</f>
        <v>-17000</v>
      </c>
    </row>
    <row r="371" spans="1:243" s="40" customFormat="1" ht="54" customHeight="1">
      <c r="A371" s="76">
        <v>2</v>
      </c>
      <c r="B371" s="77" t="s">
        <v>205</v>
      </c>
      <c r="C371" s="54" t="s">
        <v>289</v>
      </c>
      <c r="D371" s="26"/>
      <c r="E371" s="26"/>
      <c r="F371" s="75" t="s">
        <v>3</v>
      </c>
      <c r="G371" s="26" t="s">
        <v>4</v>
      </c>
      <c r="H371" s="71">
        <v>211561</v>
      </c>
      <c r="I371" s="71">
        <v>30000</v>
      </c>
      <c r="J371" s="71"/>
      <c r="K371" s="71"/>
      <c r="L371" s="71"/>
      <c r="M371" s="71">
        <v>65000</v>
      </c>
      <c r="N371" s="71"/>
      <c r="O371" s="71">
        <v>65000</v>
      </c>
      <c r="P371" s="71"/>
      <c r="Q371" s="71">
        <v>20700</v>
      </c>
      <c r="R371" s="71"/>
      <c r="S371" s="71"/>
      <c r="T371" s="71"/>
      <c r="U371" s="343">
        <v>125103</v>
      </c>
      <c r="V371" s="71">
        <v>30000</v>
      </c>
      <c r="W371" s="71" t="s">
        <v>59</v>
      </c>
      <c r="X371" s="71">
        <v>6000</v>
      </c>
      <c r="Y371" s="71"/>
      <c r="Z371" s="71"/>
      <c r="AA371" s="13" t="s">
        <v>370</v>
      </c>
      <c r="AB371" s="164">
        <v>6000</v>
      </c>
      <c r="AC371" s="164">
        <f t="shared" si="66"/>
        <v>0</v>
      </c>
      <c r="AD371" s="42"/>
      <c r="AE371" s="42"/>
      <c r="AF371" s="42">
        <v>10000</v>
      </c>
      <c r="AG371" s="13"/>
      <c r="AH371" s="37">
        <v>10000</v>
      </c>
      <c r="AI371" s="37"/>
      <c r="AJ371" s="37"/>
      <c r="AK371" s="24" t="e">
        <f>W371-Y371</f>
        <v>#VALUE!</v>
      </c>
      <c r="AL371" s="35">
        <f>+X371-AF371</f>
        <v>-4000</v>
      </c>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c r="EZ371" s="31"/>
      <c r="FA371" s="31"/>
      <c r="FB371" s="31"/>
      <c r="FC371" s="31"/>
      <c r="FD371" s="31"/>
      <c r="FE371" s="31"/>
      <c r="FF371" s="31"/>
      <c r="FG371" s="31"/>
      <c r="FH371" s="31"/>
      <c r="FI371" s="31"/>
      <c r="FJ371" s="31"/>
      <c r="FK371" s="31"/>
      <c r="FL371" s="31"/>
      <c r="FM371" s="31"/>
      <c r="FN371" s="31"/>
      <c r="FO371" s="31"/>
      <c r="FP371" s="31"/>
      <c r="FQ371" s="31"/>
      <c r="FR371" s="31"/>
      <c r="FS371" s="31"/>
      <c r="FT371" s="31"/>
      <c r="FU371" s="31"/>
      <c r="FV371" s="31"/>
      <c r="FW371" s="31"/>
      <c r="FX371" s="31"/>
      <c r="FY371" s="31"/>
      <c r="FZ371" s="31"/>
      <c r="GA371" s="31"/>
      <c r="GB371" s="31"/>
      <c r="GC371" s="31"/>
      <c r="GD371" s="31"/>
      <c r="GE371" s="31"/>
      <c r="GF371" s="31"/>
      <c r="GG371" s="31"/>
      <c r="GH371" s="31"/>
      <c r="GI371" s="31"/>
      <c r="GJ371" s="31"/>
      <c r="GK371" s="31"/>
      <c r="GL371" s="31"/>
      <c r="GM371" s="31"/>
      <c r="GN371" s="31"/>
      <c r="GO371" s="31"/>
      <c r="GP371" s="31"/>
      <c r="GQ371" s="31"/>
      <c r="GR371" s="31"/>
      <c r="GS371" s="31"/>
      <c r="GT371" s="31"/>
      <c r="GU371" s="31"/>
      <c r="GV371" s="31"/>
      <c r="GW371" s="31"/>
      <c r="GX371" s="31"/>
      <c r="GY371" s="31"/>
      <c r="GZ371" s="31"/>
      <c r="HA371" s="31"/>
      <c r="HB371" s="31"/>
      <c r="HC371" s="31"/>
      <c r="HD371" s="31"/>
      <c r="HE371" s="31"/>
      <c r="HF371" s="31"/>
      <c r="HG371" s="31"/>
      <c r="HH371" s="31"/>
      <c r="HI371" s="31"/>
      <c r="HJ371" s="31"/>
      <c r="HK371" s="31"/>
      <c r="HL371" s="31"/>
      <c r="HM371" s="31"/>
      <c r="HN371" s="31"/>
      <c r="HO371" s="31"/>
      <c r="HP371" s="31"/>
      <c r="HQ371" s="31"/>
      <c r="HR371" s="31"/>
      <c r="HS371" s="31"/>
      <c r="HT371" s="31"/>
      <c r="HU371" s="31"/>
      <c r="HV371" s="31"/>
      <c r="HW371" s="31"/>
      <c r="HX371" s="31"/>
      <c r="HY371" s="31"/>
      <c r="HZ371" s="31"/>
      <c r="IA371" s="31"/>
      <c r="IB371" s="31"/>
      <c r="IC371" s="31"/>
      <c r="ID371" s="31"/>
      <c r="IE371" s="31"/>
      <c r="IF371" s="31"/>
      <c r="IG371" s="31"/>
      <c r="IH371" s="31"/>
      <c r="II371" s="31"/>
    </row>
    <row r="372" spans="1:38" s="273" customFormat="1" ht="64.5" customHeight="1">
      <c r="A372" s="76">
        <v>3</v>
      </c>
      <c r="B372" s="354" t="s">
        <v>148</v>
      </c>
      <c r="C372" s="54" t="s">
        <v>289</v>
      </c>
      <c r="D372" s="361"/>
      <c r="E372" s="361"/>
      <c r="F372" s="361"/>
      <c r="G372" s="474" t="s">
        <v>149</v>
      </c>
      <c r="H372" s="343">
        <v>121810</v>
      </c>
      <c r="I372" s="350">
        <v>41810</v>
      </c>
      <c r="J372" s="70"/>
      <c r="K372" s="70"/>
      <c r="L372" s="70"/>
      <c r="M372" s="350">
        <v>20385</v>
      </c>
      <c r="N372" s="350">
        <v>20385</v>
      </c>
      <c r="O372" s="350">
        <v>20385</v>
      </c>
      <c r="P372" s="350"/>
      <c r="Q372" s="350">
        <v>4000</v>
      </c>
      <c r="R372" s="72"/>
      <c r="S372" s="70"/>
      <c r="T372" s="72"/>
      <c r="U372" s="343">
        <f>H372-M372-Q372</f>
        <v>97425</v>
      </c>
      <c r="V372" s="343">
        <v>37810</v>
      </c>
      <c r="W372" s="343"/>
      <c r="X372" s="343">
        <f>18000+4278+1000</f>
        <v>23278</v>
      </c>
      <c r="Y372" s="343"/>
      <c r="Z372" s="343">
        <f>X372</f>
        <v>23278</v>
      </c>
      <c r="AA372" s="37" t="s">
        <v>979</v>
      </c>
      <c r="AB372" s="163">
        <v>23278</v>
      </c>
      <c r="AC372" s="314">
        <f t="shared" si="66"/>
        <v>0</v>
      </c>
      <c r="AD372" s="36">
        <f>X372</f>
        <v>23278</v>
      </c>
      <c r="AE372" s="36"/>
      <c r="AF372" s="36">
        <v>3000</v>
      </c>
      <c r="AG372" s="37"/>
      <c r="AH372" s="37">
        <v>10000</v>
      </c>
      <c r="AI372" s="37"/>
      <c r="AJ372" s="37"/>
      <c r="AK372" s="24">
        <f>W372-Y372</f>
        <v>0</v>
      </c>
      <c r="AL372" s="35">
        <f>+X372-AF372</f>
        <v>20278</v>
      </c>
    </row>
    <row r="373" spans="1:38" s="263" customFormat="1" ht="38.25">
      <c r="A373" s="76">
        <v>4</v>
      </c>
      <c r="B373" s="461" t="s">
        <v>221</v>
      </c>
      <c r="C373" s="54" t="s">
        <v>220</v>
      </c>
      <c r="D373" s="54"/>
      <c r="E373" s="54"/>
      <c r="F373" s="75"/>
      <c r="G373" s="475" t="s">
        <v>222</v>
      </c>
      <c r="H373" s="476">
        <v>35000</v>
      </c>
      <c r="I373" s="72">
        <v>21955</v>
      </c>
      <c r="J373" s="72"/>
      <c r="K373" s="72"/>
      <c r="L373" s="72"/>
      <c r="M373" s="350">
        <v>16770</v>
      </c>
      <c r="N373" s="350">
        <v>11871</v>
      </c>
      <c r="O373" s="350">
        <v>16769.5</v>
      </c>
      <c r="P373" s="350">
        <v>11871</v>
      </c>
      <c r="Q373" s="350">
        <v>4000</v>
      </c>
      <c r="R373" s="350"/>
      <c r="S373" s="350"/>
      <c r="T373" s="350"/>
      <c r="U373" s="343">
        <f>13057</f>
        <v>13057</v>
      </c>
      <c r="V373" s="343">
        <f>U373</f>
        <v>13057</v>
      </c>
      <c r="W373" s="343">
        <f>V373</f>
        <v>13057</v>
      </c>
      <c r="X373" s="343">
        <f>W373</f>
        <v>13057</v>
      </c>
      <c r="Y373" s="343">
        <f>X373</f>
        <v>13057</v>
      </c>
      <c r="Z373" s="301">
        <f>X373</f>
        <v>13057</v>
      </c>
      <c r="AA373" s="37" t="s">
        <v>520</v>
      </c>
      <c r="AB373" s="163">
        <v>13057</v>
      </c>
      <c r="AC373" s="314">
        <f t="shared" si="66"/>
        <v>0</v>
      </c>
      <c r="AD373" s="36">
        <f>X373</f>
        <v>13057</v>
      </c>
      <c r="AE373" s="36"/>
      <c r="AF373" s="36">
        <v>13057</v>
      </c>
      <c r="AG373" s="37"/>
      <c r="AH373" s="37">
        <f>V373-X373</f>
        <v>0</v>
      </c>
      <c r="AI373" s="37"/>
      <c r="AJ373" s="37"/>
      <c r="AK373" s="24">
        <f>W373-Y373</f>
        <v>0</v>
      </c>
      <c r="AL373" s="35">
        <f>+X373-AF373</f>
        <v>0</v>
      </c>
    </row>
    <row r="374" spans="1:243" s="609" customFormat="1" ht="51">
      <c r="A374" s="597" t="s">
        <v>40</v>
      </c>
      <c r="B374" s="598" t="s">
        <v>847</v>
      </c>
      <c r="C374" s="599"/>
      <c r="D374" s="600"/>
      <c r="E374" s="600"/>
      <c r="F374" s="9"/>
      <c r="G374" s="600"/>
      <c r="H374" s="601"/>
      <c r="I374" s="601"/>
      <c r="J374" s="601"/>
      <c r="K374" s="601"/>
      <c r="L374" s="601"/>
      <c r="M374" s="601"/>
      <c r="N374" s="601"/>
      <c r="O374" s="601"/>
      <c r="P374" s="601"/>
      <c r="Q374" s="601"/>
      <c r="R374" s="601"/>
      <c r="S374" s="601"/>
      <c r="T374" s="601"/>
      <c r="U374" s="602"/>
      <c r="V374" s="601"/>
      <c r="W374" s="601"/>
      <c r="X374" s="602"/>
      <c r="Y374" s="601"/>
      <c r="Z374" s="237"/>
      <c r="AA374" s="603"/>
      <c r="AB374" s="604"/>
      <c r="AC374" s="604">
        <f t="shared" si="66"/>
        <v>0</v>
      </c>
      <c r="AD374" s="605"/>
      <c r="AE374" s="605"/>
      <c r="AF374" s="606"/>
      <c r="AG374" s="232"/>
      <c r="AH374" s="603"/>
      <c r="AI374" s="603"/>
      <c r="AJ374" s="603"/>
      <c r="AK374" s="607"/>
      <c r="AL374" s="608"/>
      <c r="AM374" s="244"/>
      <c r="AN374" s="244"/>
      <c r="AO374" s="244"/>
      <c r="AP374" s="244"/>
      <c r="AQ374" s="244"/>
      <c r="AR374" s="244"/>
      <c r="AS374" s="244"/>
      <c r="AT374" s="244"/>
      <c r="AU374" s="244"/>
      <c r="AV374" s="244"/>
      <c r="AW374" s="244"/>
      <c r="AX374" s="244"/>
      <c r="AY374" s="244"/>
      <c r="AZ374" s="244"/>
      <c r="BA374" s="244"/>
      <c r="BB374" s="244"/>
      <c r="BC374" s="244"/>
      <c r="BD374" s="244"/>
      <c r="BE374" s="244"/>
      <c r="BF374" s="244"/>
      <c r="BG374" s="244"/>
      <c r="BH374" s="244"/>
      <c r="BI374" s="244"/>
      <c r="BJ374" s="244"/>
      <c r="BK374" s="244"/>
      <c r="BL374" s="244"/>
      <c r="BM374" s="244"/>
      <c r="BN374" s="244"/>
      <c r="BO374" s="244"/>
      <c r="BP374" s="244"/>
      <c r="BQ374" s="244"/>
      <c r="BR374" s="244"/>
      <c r="BS374" s="244"/>
      <c r="BT374" s="244"/>
      <c r="BU374" s="244"/>
      <c r="BV374" s="244"/>
      <c r="BW374" s="244"/>
      <c r="BX374" s="244"/>
      <c r="BY374" s="244"/>
      <c r="BZ374" s="244"/>
      <c r="CA374" s="244"/>
      <c r="CB374" s="244"/>
      <c r="CC374" s="244"/>
      <c r="CD374" s="244"/>
      <c r="CE374" s="244"/>
      <c r="CF374" s="244"/>
      <c r="CG374" s="244"/>
      <c r="CH374" s="244"/>
      <c r="CI374" s="244"/>
      <c r="CJ374" s="244"/>
      <c r="CK374" s="244"/>
      <c r="CL374" s="244"/>
      <c r="CM374" s="244"/>
      <c r="CN374" s="244"/>
      <c r="CO374" s="244"/>
      <c r="CP374" s="244"/>
      <c r="CQ374" s="244"/>
      <c r="CR374" s="244"/>
      <c r="CS374" s="244"/>
      <c r="CT374" s="244"/>
      <c r="CU374" s="244"/>
      <c r="CV374" s="244"/>
      <c r="CW374" s="244"/>
      <c r="CX374" s="244"/>
      <c r="CY374" s="244"/>
      <c r="CZ374" s="244"/>
      <c r="DA374" s="244"/>
      <c r="DB374" s="244"/>
      <c r="DC374" s="244"/>
      <c r="DD374" s="244"/>
      <c r="DE374" s="244"/>
      <c r="DF374" s="244"/>
      <c r="DG374" s="244"/>
      <c r="DH374" s="244"/>
      <c r="DI374" s="244"/>
      <c r="DJ374" s="244"/>
      <c r="DK374" s="244"/>
      <c r="DL374" s="244"/>
      <c r="DM374" s="244"/>
      <c r="DN374" s="244"/>
      <c r="DO374" s="244"/>
      <c r="DP374" s="244"/>
      <c r="DQ374" s="244"/>
      <c r="DR374" s="244"/>
      <c r="DS374" s="244"/>
      <c r="DT374" s="244"/>
      <c r="DU374" s="244"/>
      <c r="DV374" s="244"/>
      <c r="DW374" s="244"/>
      <c r="DX374" s="244"/>
      <c r="DY374" s="244"/>
      <c r="DZ374" s="244"/>
      <c r="EA374" s="244"/>
      <c r="EB374" s="244"/>
      <c r="EC374" s="244"/>
      <c r="ED374" s="244"/>
      <c r="EE374" s="244"/>
      <c r="EF374" s="244"/>
      <c r="EG374" s="244"/>
      <c r="EH374" s="244"/>
      <c r="EI374" s="244"/>
      <c r="EJ374" s="244"/>
      <c r="EK374" s="244"/>
      <c r="EL374" s="244"/>
      <c r="EM374" s="244"/>
      <c r="EN374" s="244"/>
      <c r="EO374" s="244"/>
      <c r="EP374" s="244"/>
      <c r="EQ374" s="244"/>
      <c r="ER374" s="244"/>
      <c r="ES374" s="244"/>
      <c r="ET374" s="244"/>
      <c r="EU374" s="244"/>
      <c r="EV374" s="244"/>
      <c r="EW374" s="244"/>
      <c r="EX374" s="244"/>
      <c r="EY374" s="244"/>
      <c r="EZ374" s="244"/>
      <c r="FA374" s="244"/>
      <c r="FB374" s="244"/>
      <c r="FC374" s="244"/>
      <c r="FD374" s="244"/>
      <c r="FE374" s="244"/>
      <c r="FF374" s="244"/>
      <c r="FG374" s="244"/>
      <c r="FH374" s="244"/>
      <c r="FI374" s="244"/>
      <c r="FJ374" s="244"/>
      <c r="FK374" s="244"/>
      <c r="FL374" s="244"/>
      <c r="FM374" s="244"/>
      <c r="FN374" s="244"/>
      <c r="FO374" s="244"/>
      <c r="FP374" s="244"/>
      <c r="FQ374" s="244"/>
      <c r="FR374" s="244"/>
      <c r="FS374" s="244"/>
      <c r="FT374" s="244"/>
      <c r="FU374" s="244"/>
      <c r="FV374" s="244"/>
      <c r="FW374" s="244"/>
      <c r="FX374" s="244"/>
      <c r="FY374" s="244"/>
      <c r="FZ374" s="244"/>
      <c r="GA374" s="244"/>
      <c r="GB374" s="244"/>
      <c r="GC374" s="244"/>
      <c r="GD374" s="244"/>
      <c r="GE374" s="244"/>
      <c r="GF374" s="244"/>
      <c r="GG374" s="244"/>
      <c r="GH374" s="244"/>
      <c r="GI374" s="244"/>
      <c r="GJ374" s="244"/>
      <c r="GK374" s="244"/>
      <c r="GL374" s="244"/>
      <c r="GM374" s="244"/>
      <c r="GN374" s="244"/>
      <c r="GO374" s="244"/>
      <c r="GP374" s="244"/>
      <c r="GQ374" s="244"/>
      <c r="GR374" s="244"/>
      <c r="GS374" s="244"/>
      <c r="GT374" s="244"/>
      <c r="GU374" s="244"/>
      <c r="GV374" s="244"/>
      <c r="GW374" s="244"/>
      <c r="GX374" s="244"/>
      <c r="GY374" s="244"/>
      <c r="GZ374" s="244"/>
      <c r="HA374" s="244"/>
      <c r="HB374" s="244"/>
      <c r="HC374" s="244"/>
      <c r="HD374" s="244"/>
      <c r="HE374" s="244"/>
      <c r="HF374" s="244"/>
      <c r="HG374" s="244"/>
      <c r="HH374" s="244"/>
      <c r="HI374" s="244"/>
      <c r="HJ374" s="244"/>
      <c r="HK374" s="244"/>
      <c r="HL374" s="244"/>
      <c r="HM374" s="244"/>
      <c r="HN374" s="244"/>
      <c r="HO374" s="244"/>
      <c r="HP374" s="244"/>
      <c r="HQ374" s="244"/>
      <c r="HR374" s="244"/>
      <c r="HS374" s="244"/>
      <c r="HT374" s="244"/>
      <c r="HU374" s="244"/>
      <c r="HV374" s="244"/>
      <c r="HW374" s="244"/>
      <c r="HX374" s="244"/>
      <c r="HY374" s="244"/>
      <c r="HZ374" s="244"/>
      <c r="IA374" s="244"/>
      <c r="IB374" s="244"/>
      <c r="IC374" s="244"/>
      <c r="ID374" s="244"/>
      <c r="IE374" s="244"/>
      <c r="IF374" s="244"/>
      <c r="IG374" s="244"/>
      <c r="IH374" s="244"/>
      <c r="II374" s="244"/>
    </row>
    <row r="375" spans="1:243" s="40" customFormat="1" ht="53.25" customHeight="1">
      <c r="A375" s="76">
        <v>5</v>
      </c>
      <c r="B375" s="77" t="s">
        <v>882</v>
      </c>
      <c r="C375" s="54"/>
      <c r="D375" s="26"/>
      <c r="E375" s="26"/>
      <c r="F375" s="75"/>
      <c r="G375" s="477" t="s">
        <v>891</v>
      </c>
      <c r="H375" s="425">
        <v>7420</v>
      </c>
      <c r="I375" s="425">
        <v>7420</v>
      </c>
      <c r="J375" s="425"/>
      <c r="K375" s="425"/>
      <c r="L375" s="425"/>
      <c r="M375" s="425"/>
      <c r="N375" s="425"/>
      <c r="O375" s="425">
        <v>6243.404</v>
      </c>
      <c r="P375" s="425"/>
      <c r="Q375" s="425"/>
      <c r="R375" s="425"/>
      <c r="S375" s="425"/>
      <c r="T375" s="425"/>
      <c r="U375" s="430">
        <v>396.3299999999999</v>
      </c>
      <c r="V375" s="425">
        <v>396.3299999999999</v>
      </c>
      <c r="W375" s="425">
        <f>V375</f>
        <v>396.3299999999999</v>
      </c>
      <c r="X375" s="430">
        <f>V375</f>
        <v>396.3299999999999</v>
      </c>
      <c r="Y375" s="425">
        <f>X375</f>
        <v>396.3299999999999</v>
      </c>
      <c r="Z375" s="71"/>
      <c r="AA375" s="37" t="s">
        <v>746</v>
      </c>
      <c r="AB375" s="324">
        <v>396.3299999999999</v>
      </c>
      <c r="AC375" s="324">
        <f t="shared" si="66"/>
        <v>0</v>
      </c>
      <c r="AD375" s="36">
        <f aca="true" t="shared" si="73" ref="AD375:AD381">X375</f>
        <v>396.3299999999999</v>
      </c>
      <c r="AE375" s="36"/>
      <c r="AF375" s="42"/>
      <c r="AG375" s="13"/>
      <c r="AH375" s="37"/>
      <c r="AI375" s="37"/>
      <c r="AJ375" s="37"/>
      <c r="AK375" s="24"/>
      <c r="AL375" s="38"/>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1"/>
      <c r="ID375" s="31"/>
      <c r="IE375" s="31"/>
      <c r="IF375" s="31"/>
      <c r="IG375" s="31"/>
      <c r="IH375" s="31"/>
      <c r="II375" s="31"/>
    </row>
    <row r="376" spans="1:243" s="40" customFormat="1" ht="52.5" customHeight="1">
      <c r="A376" s="76">
        <v>6</v>
      </c>
      <c r="B376" s="77" t="s">
        <v>883</v>
      </c>
      <c r="C376" s="54"/>
      <c r="D376" s="26"/>
      <c r="E376" s="26"/>
      <c r="F376" s="75"/>
      <c r="G376" s="477" t="s">
        <v>892</v>
      </c>
      <c r="H376" s="425">
        <v>7396</v>
      </c>
      <c r="I376" s="425">
        <v>7396</v>
      </c>
      <c r="J376" s="425"/>
      <c r="K376" s="425"/>
      <c r="L376" s="425"/>
      <c r="M376" s="425"/>
      <c r="N376" s="425"/>
      <c r="O376" s="425">
        <v>6171.623</v>
      </c>
      <c r="P376" s="425"/>
      <c r="Q376" s="425"/>
      <c r="R376" s="425"/>
      <c r="S376" s="425"/>
      <c r="T376" s="425"/>
      <c r="U376" s="430">
        <v>165.3</v>
      </c>
      <c r="V376" s="425">
        <v>165.3</v>
      </c>
      <c r="W376" s="425">
        <f aca="true" t="shared" si="74" ref="W376:W381">V376</f>
        <v>165.3</v>
      </c>
      <c r="X376" s="430">
        <f aca="true" t="shared" si="75" ref="X376:X381">V376</f>
        <v>165.3</v>
      </c>
      <c r="Y376" s="425">
        <f aca="true" t="shared" si="76" ref="Y376:Y381">X376</f>
        <v>165.3</v>
      </c>
      <c r="Z376" s="71"/>
      <c r="AA376" s="37" t="s">
        <v>746</v>
      </c>
      <c r="AB376" s="324">
        <v>165.3</v>
      </c>
      <c r="AC376" s="324">
        <f t="shared" si="66"/>
        <v>0</v>
      </c>
      <c r="AD376" s="36">
        <f t="shared" si="73"/>
        <v>165.3</v>
      </c>
      <c r="AE376" s="36"/>
      <c r="AF376" s="42"/>
      <c r="AG376" s="13"/>
      <c r="AH376" s="37"/>
      <c r="AI376" s="37"/>
      <c r="AJ376" s="37"/>
      <c r="AK376" s="24"/>
      <c r="AL376" s="38"/>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c r="FQ376" s="31"/>
      <c r="FR376" s="31"/>
      <c r="FS376" s="31"/>
      <c r="FT376" s="31"/>
      <c r="FU376" s="31"/>
      <c r="FV376" s="31"/>
      <c r="FW376" s="31"/>
      <c r="FX376" s="31"/>
      <c r="FY376" s="31"/>
      <c r="FZ376" s="31"/>
      <c r="GA376" s="31"/>
      <c r="GB376" s="31"/>
      <c r="GC376" s="31"/>
      <c r="GD376" s="31"/>
      <c r="GE376" s="31"/>
      <c r="GF376" s="31"/>
      <c r="GG376" s="31"/>
      <c r="GH376" s="31"/>
      <c r="GI376" s="31"/>
      <c r="GJ376" s="31"/>
      <c r="GK376" s="31"/>
      <c r="GL376" s="31"/>
      <c r="GM376" s="31"/>
      <c r="GN376" s="31"/>
      <c r="GO376" s="31"/>
      <c r="GP376" s="31"/>
      <c r="GQ376" s="31"/>
      <c r="GR376" s="31"/>
      <c r="GS376" s="31"/>
      <c r="GT376" s="31"/>
      <c r="GU376" s="31"/>
      <c r="GV376" s="31"/>
      <c r="GW376" s="31"/>
      <c r="GX376" s="31"/>
      <c r="GY376" s="31"/>
      <c r="GZ376" s="31"/>
      <c r="HA376" s="31"/>
      <c r="HB376" s="31"/>
      <c r="HC376" s="31"/>
      <c r="HD376" s="31"/>
      <c r="HE376" s="31"/>
      <c r="HF376" s="31"/>
      <c r="HG376" s="31"/>
      <c r="HH376" s="31"/>
      <c r="HI376" s="31"/>
      <c r="HJ376" s="31"/>
      <c r="HK376" s="31"/>
      <c r="HL376" s="31"/>
      <c r="HM376" s="31"/>
      <c r="HN376" s="31"/>
      <c r="HO376" s="31"/>
      <c r="HP376" s="31"/>
      <c r="HQ376" s="31"/>
      <c r="HR376" s="31"/>
      <c r="HS376" s="31"/>
      <c r="HT376" s="31"/>
      <c r="HU376" s="31"/>
      <c r="HV376" s="31"/>
      <c r="HW376" s="31"/>
      <c r="HX376" s="31"/>
      <c r="HY376" s="31"/>
      <c r="HZ376" s="31"/>
      <c r="IA376" s="31"/>
      <c r="IB376" s="31"/>
      <c r="IC376" s="31"/>
      <c r="ID376" s="31"/>
      <c r="IE376" s="31"/>
      <c r="IF376" s="31"/>
      <c r="IG376" s="31"/>
      <c r="IH376" s="31"/>
      <c r="II376" s="31"/>
    </row>
    <row r="377" spans="1:243" s="40" customFormat="1" ht="47.25" customHeight="1">
      <c r="A377" s="76">
        <v>7</v>
      </c>
      <c r="B377" s="77" t="s">
        <v>884</v>
      </c>
      <c r="C377" s="54"/>
      <c r="D377" s="26"/>
      <c r="E377" s="26"/>
      <c r="F377" s="75"/>
      <c r="G377" s="477" t="s">
        <v>893</v>
      </c>
      <c r="H377" s="425">
        <v>7266</v>
      </c>
      <c r="I377" s="425">
        <v>7266</v>
      </c>
      <c r="J377" s="425"/>
      <c r="K377" s="425"/>
      <c r="L377" s="425"/>
      <c r="M377" s="425"/>
      <c r="N377" s="425"/>
      <c r="O377" s="425">
        <v>6140.991</v>
      </c>
      <c r="P377" s="425"/>
      <c r="Q377" s="425"/>
      <c r="R377" s="425"/>
      <c r="S377" s="425"/>
      <c r="T377" s="425"/>
      <c r="U377" s="430">
        <v>527.1120000000001</v>
      </c>
      <c r="V377" s="425">
        <v>527.1120000000001</v>
      </c>
      <c r="W377" s="425">
        <f t="shared" si="74"/>
        <v>527.1120000000001</v>
      </c>
      <c r="X377" s="430">
        <f t="shared" si="75"/>
        <v>527.1120000000001</v>
      </c>
      <c r="Y377" s="425">
        <f t="shared" si="76"/>
        <v>527.1120000000001</v>
      </c>
      <c r="Z377" s="71"/>
      <c r="AA377" s="37" t="s">
        <v>746</v>
      </c>
      <c r="AB377" s="324">
        <v>527.1120000000001</v>
      </c>
      <c r="AC377" s="324">
        <f t="shared" si="66"/>
        <v>0</v>
      </c>
      <c r="AD377" s="36">
        <f t="shared" si="73"/>
        <v>527.1120000000001</v>
      </c>
      <c r="AE377" s="36"/>
      <c r="AF377" s="42"/>
      <c r="AG377" s="13"/>
      <c r="AH377" s="37"/>
      <c r="AI377" s="37"/>
      <c r="AJ377" s="37"/>
      <c r="AK377" s="24"/>
      <c r="AL377" s="38"/>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row>
    <row r="378" spans="1:243" s="40" customFormat="1" ht="47.25" customHeight="1">
      <c r="A378" s="76">
        <v>8</v>
      </c>
      <c r="B378" s="77" t="s">
        <v>885</v>
      </c>
      <c r="C378" s="54"/>
      <c r="D378" s="26"/>
      <c r="E378" s="26"/>
      <c r="F378" s="75"/>
      <c r="G378" s="477" t="s">
        <v>894</v>
      </c>
      <c r="H378" s="425">
        <v>7465</v>
      </c>
      <c r="I378" s="425">
        <v>7465</v>
      </c>
      <c r="J378" s="425"/>
      <c r="K378" s="425"/>
      <c r="L378" s="425"/>
      <c r="M378" s="425"/>
      <c r="N378" s="425"/>
      <c r="O378" s="425">
        <v>6480</v>
      </c>
      <c r="P378" s="425"/>
      <c r="Q378" s="425"/>
      <c r="R378" s="425"/>
      <c r="S378" s="425"/>
      <c r="T378" s="425"/>
      <c r="U378" s="430">
        <v>260</v>
      </c>
      <c r="V378" s="425">
        <v>260</v>
      </c>
      <c r="W378" s="425">
        <f t="shared" si="74"/>
        <v>260</v>
      </c>
      <c r="X378" s="430">
        <f t="shared" si="75"/>
        <v>260</v>
      </c>
      <c r="Y378" s="425">
        <f t="shared" si="76"/>
        <v>260</v>
      </c>
      <c r="Z378" s="71"/>
      <c r="AA378" s="37" t="s">
        <v>746</v>
      </c>
      <c r="AB378" s="324">
        <v>260</v>
      </c>
      <c r="AC378" s="324">
        <f t="shared" si="66"/>
        <v>0</v>
      </c>
      <c r="AD378" s="36">
        <f t="shared" si="73"/>
        <v>260</v>
      </c>
      <c r="AE378" s="36"/>
      <c r="AF378" s="42"/>
      <c r="AG378" s="13"/>
      <c r="AH378" s="37"/>
      <c r="AI378" s="37"/>
      <c r="AJ378" s="37"/>
      <c r="AK378" s="24"/>
      <c r="AL378" s="38"/>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row>
    <row r="379" spans="1:243" s="40" customFormat="1" ht="53.25" customHeight="1">
      <c r="A379" s="76">
        <v>9</v>
      </c>
      <c r="B379" s="77" t="s">
        <v>886</v>
      </c>
      <c r="C379" s="54"/>
      <c r="D379" s="26"/>
      <c r="E379" s="26"/>
      <c r="F379" s="75"/>
      <c r="G379" s="477" t="s">
        <v>895</v>
      </c>
      <c r="H379" s="425">
        <v>7796</v>
      </c>
      <c r="I379" s="425">
        <v>7796</v>
      </c>
      <c r="J379" s="425"/>
      <c r="K379" s="425"/>
      <c r="L379" s="425"/>
      <c r="M379" s="425"/>
      <c r="N379" s="425"/>
      <c r="O379" s="425">
        <v>6878.7</v>
      </c>
      <c r="P379" s="425"/>
      <c r="Q379" s="425"/>
      <c r="R379" s="425"/>
      <c r="S379" s="425"/>
      <c r="T379" s="425"/>
      <c r="U379" s="430">
        <v>857.7</v>
      </c>
      <c r="V379" s="425">
        <v>857.7</v>
      </c>
      <c r="W379" s="425">
        <f t="shared" si="74"/>
        <v>857.7</v>
      </c>
      <c r="X379" s="430">
        <f t="shared" si="75"/>
        <v>857.7</v>
      </c>
      <c r="Y379" s="425">
        <f t="shared" si="76"/>
        <v>857.7</v>
      </c>
      <c r="Z379" s="71"/>
      <c r="AA379" s="37" t="s">
        <v>746</v>
      </c>
      <c r="AB379" s="324">
        <v>857.7</v>
      </c>
      <c r="AC379" s="324">
        <f t="shared" si="66"/>
        <v>0</v>
      </c>
      <c r="AD379" s="36">
        <f t="shared" si="73"/>
        <v>857.7</v>
      </c>
      <c r="AE379" s="36"/>
      <c r="AF379" s="42"/>
      <c r="AG379" s="13"/>
      <c r="AH379" s="37"/>
      <c r="AI379" s="37"/>
      <c r="AJ379" s="37"/>
      <c r="AK379" s="24"/>
      <c r="AL379" s="38"/>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31"/>
      <c r="HN379" s="31"/>
      <c r="HO379" s="31"/>
      <c r="HP379" s="31"/>
      <c r="HQ379" s="31"/>
      <c r="HR379" s="31"/>
      <c r="HS379" s="31"/>
      <c r="HT379" s="31"/>
      <c r="HU379" s="31"/>
      <c r="HV379" s="31"/>
      <c r="HW379" s="31"/>
      <c r="HX379" s="31"/>
      <c r="HY379" s="31"/>
      <c r="HZ379" s="31"/>
      <c r="IA379" s="31"/>
      <c r="IB379" s="31"/>
      <c r="IC379" s="31"/>
      <c r="ID379" s="31"/>
      <c r="IE379" s="31"/>
      <c r="IF379" s="31"/>
      <c r="IG379" s="31"/>
      <c r="IH379" s="31"/>
      <c r="II379" s="31"/>
    </row>
    <row r="380" spans="1:243" s="40" customFormat="1" ht="52.5" customHeight="1">
      <c r="A380" s="76">
        <v>10</v>
      </c>
      <c r="B380" s="77" t="s">
        <v>887</v>
      </c>
      <c r="C380" s="54"/>
      <c r="D380" s="26"/>
      <c r="E380" s="26"/>
      <c r="F380" s="75"/>
      <c r="G380" s="477" t="s">
        <v>896</v>
      </c>
      <c r="H380" s="425">
        <v>8250</v>
      </c>
      <c r="I380" s="425">
        <v>8250</v>
      </c>
      <c r="J380" s="425"/>
      <c r="K380" s="425"/>
      <c r="L380" s="425"/>
      <c r="M380" s="425"/>
      <c r="N380" s="425"/>
      <c r="O380" s="425">
        <v>7928.53</v>
      </c>
      <c r="P380" s="425"/>
      <c r="Q380" s="425"/>
      <c r="R380" s="425"/>
      <c r="S380" s="425"/>
      <c r="T380" s="425"/>
      <c r="U380" s="430">
        <v>404.70000000000005</v>
      </c>
      <c r="V380" s="425">
        <v>404.70000000000005</v>
      </c>
      <c r="W380" s="425">
        <f t="shared" si="74"/>
        <v>404.70000000000005</v>
      </c>
      <c r="X380" s="430">
        <f t="shared" si="75"/>
        <v>404.70000000000005</v>
      </c>
      <c r="Y380" s="425">
        <f t="shared" si="76"/>
        <v>404.70000000000005</v>
      </c>
      <c r="Z380" s="71"/>
      <c r="AA380" s="37" t="s">
        <v>746</v>
      </c>
      <c r="AB380" s="324">
        <v>404.70000000000005</v>
      </c>
      <c r="AC380" s="324">
        <f t="shared" si="66"/>
        <v>0</v>
      </c>
      <c r="AD380" s="36">
        <f t="shared" si="73"/>
        <v>404.70000000000005</v>
      </c>
      <c r="AE380" s="36"/>
      <c r="AF380" s="42"/>
      <c r="AG380" s="13"/>
      <c r="AH380" s="37"/>
      <c r="AI380" s="37"/>
      <c r="AJ380" s="37"/>
      <c r="AK380" s="24"/>
      <c r="AL380" s="38"/>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31"/>
      <c r="HN380" s="31"/>
      <c r="HO380" s="31"/>
      <c r="HP380" s="31"/>
      <c r="HQ380" s="31"/>
      <c r="HR380" s="31"/>
      <c r="HS380" s="31"/>
      <c r="HT380" s="31"/>
      <c r="HU380" s="31"/>
      <c r="HV380" s="31"/>
      <c r="HW380" s="31"/>
      <c r="HX380" s="31"/>
      <c r="HY380" s="31"/>
      <c r="HZ380" s="31"/>
      <c r="IA380" s="31"/>
      <c r="IB380" s="31"/>
      <c r="IC380" s="31"/>
      <c r="ID380" s="31"/>
      <c r="IE380" s="31"/>
      <c r="IF380" s="31"/>
      <c r="IG380" s="31"/>
      <c r="IH380" s="31"/>
      <c r="II380" s="31"/>
    </row>
    <row r="381" spans="1:243" s="40" customFormat="1" ht="51.75" customHeight="1">
      <c r="A381" s="76">
        <v>11</v>
      </c>
      <c r="B381" s="77" t="s">
        <v>888</v>
      </c>
      <c r="C381" s="54"/>
      <c r="D381" s="26"/>
      <c r="E381" s="26"/>
      <c r="F381" s="75"/>
      <c r="G381" s="477" t="s">
        <v>897</v>
      </c>
      <c r="H381" s="425">
        <v>2865</v>
      </c>
      <c r="I381" s="425">
        <v>2865</v>
      </c>
      <c r="J381" s="425"/>
      <c r="K381" s="425"/>
      <c r="L381" s="425"/>
      <c r="M381" s="425"/>
      <c r="N381" s="425"/>
      <c r="O381" s="425">
        <v>2622.678</v>
      </c>
      <c r="P381" s="425"/>
      <c r="Q381" s="425"/>
      <c r="R381" s="425"/>
      <c r="S381" s="425"/>
      <c r="T381" s="425"/>
      <c r="U381" s="430">
        <v>35.72000000000003</v>
      </c>
      <c r="V381" s="425">
        <v>35.72000000000003</v>
      </c>
      <c r="W381" s="425">
        <f t="shared" si="74"/>
        <v>35.72000000000003</v>
      </c>
      <c r="X381" s="430">
        <f t="shared" si="75"/>
        <v>35.72000000000003</v>
      </c>
      <c r="Y381" s="425">
        <f t="shared" si="76"/>
        <v>35.72000000000003</v>
      </c>
      <c r="Z381" s="71"/>
      <c r="AA381" s="37" t="s">
        <v>746</v>
      </c>
      <c r="AB381" s="324">
        <v>35.72000000000003</v>
      </c>
      <c r="AC381" s="324">
        <f t="shared" si="66"/>
        <v>0</v>
      </c>
      <c r="AD381" s="36">
        <f t="shared" si="73"/>
        <v>35.72000000000003</v>
      </c>
      <c r="AE381" s="36"/>
      <c r="AF381" s="42"/>
      <c r="AG381" s="13"/>
      <c r="AH381" s="37"/>
      <c r="AI381" s="37"/>
      <c r="AJ381" s="37"/>
      <c r="AK381" s="24"/>
      <c r="AL381" s="38"/>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31"/>
      <c r="HN381" s="31"/>
      <c r="HO381" s="31"/>
      <c r="HP381" s="31"/>
      <c r="HQ381" s="31"/>
      <c r="HR381" s="31"/>
      <c r="HS381" s="31"/>
      <c r="HT381" s="31"/>
      <c r="HU381" s="31"/>
      <c r="HV381" s="31"/>
      <c r="HW381" s="31"/>
      <c r="HX381" s="31"/>
      <c r="HY381" s="31"/>
      <c r="HZ381" s="31"/>
      <c r="IA381" s="31"/>
      <c r="IB381" s="31"/>
      <c r="IC381" s="31"/>
      <c r="ID381" s="31"/>
      <c r="IE381" s="31"/>
      <c r="IF381" s="31"/>
      <c r="IG381" s="31"/>
      <c r="IH381" s="31"/>
      <c r="II381" s="31"/>
    </row>
    <row r="382" spans="1:38" s="41" customFormat="1" ht="54" customHeight="1">
      <c r="A382" s="76">
        <v>12</v>
      </c>
      <c r="B382" s="348" t="s">
        <v>302</v>
      </c>
      <c r="C382" s="355" t="s">
        <v>6</v>
      </c>
      <c r="D382" s="54" t="s">
        <v>303</v>
      </c>
      <c r="E382" s="54"/>
      <c r="F382" s="75" t="s">
        <v>304</v>
      </c>
      <c r="G382" s="298" t="s">
        <v>930</v>
      </c>
      <c r="H382" s="404">
        <v>9363</v>
      </c>
      <c r="I382" s="404">
        <f>H382-5781</f>
        <v>3582</v>
      </c>
      <c r="J382" s="404"/>
      <c r="K382" s="404"/>
      <c r="L382" s="404"/>
      <c r="M382" s="404"/>
      <c r="N382" s="404"/>
      <c r="O382" s="404"/>
      <c r="P382" s="404"/>
      <c r="Q382" s="371">
        <v>5781</v>
      </c>
      <c r="R382" s="72"/>
      <c r="S382" s="72"/>
      <c r="T382" s="72"/>
      <c r="U382" s="343">
        <v>3580</v>
      </c>
      <c r="V382" s="343">
        <v>3580</v>
      </c>
      <c r="W382" s="343"/>
      <c r="X382" s="343">
        <v>1000</v>
      </c>
      <c r="Y382" s="343"/>
      <c r="Z382" s="343"/>
      <c r="AA382" s="37" t="s">
        <v>82</v>
      </c>
      <c r="AB382" s="163">
        <v>1248</v>
      </c>
      <c r="AC382" s="314">
        <f>+X382-AB382</f>
        <v>-248</v>
      </c>
      <c r="AD382" s="36"/>
      <c r="AE382" s="36">
        <f>V382-X382</f>
        <v>2580</v>
      </c>
      <c r="AF382" s="36">
        <v>3580</v>
      </c>
      <c r="AG382" s="37"/>
      <c r="AH382" s="37">
        <f>V382-X382</f>
        <v>2580</v>
      </c>
      <c r="AI382" s="37"/>
      <c r="AJ382" s="37"/>
      <c r="AK382" s="24">
        <f>W382-Y382</f>
        <v>0</v>
      </c>
      <c r="AL382" s="35">
        <f>+X382-AF382</f>
        <v>-2580</v>
      </c>
    </row>
    <row r="383" spans="1:38" s="41" customFormat="1" ht="53.25" customHeight="1">
      <c r="A383" s="76">
        <v>13</v>
      </c>
      <c r="B383" s="256" t="s">
        <v>203</v>
      </c>
      <c r="C383" s="54" t="s">
        <v>289</v>
      </c>
      <c r="D383" s="54"/>
      <c r="E383" s="54"/>
      <c r="F383" s="75"/>
      <c r="G383" s="356" t="s">
        <v>204</v>
      </c>
      <c r="H383" s="299">
        <v>10900</v>
      </c>
      <c r="I383" s="371">
        <f>H383-7300</f>
        <v>3600</v>
      </c>
      <c r="J383" s="72"/>
      <c r="K383" s="72"/>
      <c r="L383" s="72"/>
      <c r="M383" s="72"/>
      <c r="N383" s="72"/>
      <c r="O383" s="72"/>
      <c r="P383" s="72"/>
      <c r="Q383" s="371">
        <v>6219</v>
      </c>
      <c r="R383" s="371">
        <v>0</v>
      </c>
      <c r="S383" s="371">
        <v>0</v>
      </c>
      <c r="T383" s="72"/>
      <c r="U383" s="343">
        <v>4681</v>
      </c>
      <c r="V383" s="343">
        <f>U383-1081</f>
        <v>3600</v>
      </c>
      <c r="W383" s="343"/>
      <c r="X383" s="343">
        <v>1000</v>
      </c>
      <c r="Y383" s="343" t="s">
        <v>59</v>
      </c>
      <c r="Z383" s="343"/>
      <c r="AA383" s="37" t="s">
        <v>746</v>
      </c>
      <c r="AB383" s="163">
        <v>2500</v>
      </c>
      <c r="AC383" s="314">
        <f>+X383-AB383</f>
        <v>-1500</v>
      </c>
      <c r="AD383" s="36"/>
      <c r="AE383" s="36"/>
      <c r="AF383" s="36">
        <v>2000</v>
      </c>
      <c r="AG383" s="37"/>
      <c r="AH383" s="37">
        <f>V383-X383</f>
        <v>2600</v>
      </c>
      <c r="AI383" s="37"/>
      <c r="AJ383" s="37"/>
      <c r="AK383" s="24" t="e">
        <f>W383-Y383</f>
        <v>#VALUE!</v>
      </c>
      <c r="AL383" s="35">
        <f>+X383-AF383</f>
        <v>-1000</v>
      </c>
    </row>
    <row r="384" spans="1:38" s="41" customFormat="1" ht="44.25" customHeight="1">
      <c r="A384" s="76">
        <v>14</v>
      </c>
      <c r="B384" s="348" t="s">
        <v>96</v>
      </c>
      <c r="C384" s="75" t="s">
        <v>66</v>
      </c>
      <c r="D384" s="54" t="s">
        <v>98</v>
      </c>
      <c r="E384" s="54"/>
      <c r="F384" s="54" t="s">
        <v>99</v>
      </c>
      <c r="G384" s="298" t="s">
        <v>100</v>
      </c>
      <c r="H384" s="72">
        <v>99846</v>
      </c>
      <c r="I384" s="371">
        <v>16578</v>
      </c>
      <c r="J384" s="257" t="s">
        <v>306</v>
      </c>
      <c r="K384" s="72">
        <v>116424</v>
      </c>
      <c r="L384" s="72">
        <v>16578</v>
      </c>
      <c r="M384" s="72">
        <v>91022</v>
      </c>
      <c r="N384" s="72">
        <v>0</v>
      </c>
      <c r="O384" s="72">
        <v>91022</v>
      </c>
      <c r="P384" s="72"/>
      <c r="Q384" s="350">
        <v>8824</v>
      </c>
      <c r="R384" s="72">
        <v>8824</v>
      </c>
      <c r="S384" s="72"/>
      <c r="T384" s="72"/>
      <c r="U384" s="343">
        <v>16578</v>
      </c>
      <c r="V384" s="343">
        <f>U384</f>
        <v>16578</v>
      </c>
      <c r="W384" s="343"/>
      <c r="X384" s="343">
        <v>3248</v>
      </c>
      <c r="Y384" s="343"/>
      <c r="Z384" s="343"/>
      <c r="AA384" s="37" t="s">
        <v>746</v>
      </c>
      <c r="AB384" s="163">
        <v>2000</v>
      </c>
      <c r="AC384" s="314">
        <f t="shared" si="66"/>
        <v>1248</v>
      </c>
      <c r="AD384" s="36"/>
      <c r="AE384" s="36"/>
      <c r="AF384" s="36">
        <v>2000</v>
      </c>
      <c r="AG384" s="37"/>
      <c r="AH384" s="37">
        <f>(V384-X384)/2</f>
        <v>6665</v>
      </c>
      <c r="AI384" s="37"/>
      <c r="AJ384" s="37"/>
      <c r="AK384" s="24">
        <f>W384-Y384</f>
        <v>0</v>
      </c>
      <c r="AL384" s="35">
        <f>+X384-AF384</f>
        <v>1248</v>
      </c>
    </row>
    <row r="385" spans="1:38" s="35" customFormat="1" ht="27.75" customHeight="1">
      <c r="A385" s="45" t="s">
        <v>750</v>
      </c>
      <c r="B385" s="341" t="s">
        <v>309</v>
      </c>
      <c r="C385" s="67"/>
      <c r="D385" s="67"/>
      <c r="E385" s="67"/>
      <c r="F385" s="67"/>
      <c r="G385" s="67"/>
      <c r="H385" s="68">
        <f>'Bieu 10c XSKT 2016'!G16</f>
        <v>48350</v>
      </c>
      <c r="I385" s="68">
        <f>'Bieu 10c XSKT 2016'!H16</f>
        <v>43330</v>
      </c>
      <c r="J385" s="68">
        <f>'Bieu 10c XSKT 2016'!E16</f>
        <v>0</v>
      </c>
      <c r="K385" s="68">
        <f>'Bieu 10c XSKT 2016'!F16</f>
        <v>0</v>
      </c>
      <c r="L385" s="68">
        <f>'Bieu 10c XSKT 2016'!G16</f>
        <v>48350</v>
      </c>
      <c r="M385" s="68">
        <f>'Bieu 10c XSKT 2016'!H16</f>
        <v>43330</v>
      </c>
      <c r="N385" s="68">
        <f>'Bieu 10c XSKT 2016'!I16</f>
        <v>11315</v>
      </c>
      <c r="O385" s="68">
        <f>'Bieu 10c XSKT 2016'!K16</f>
        <v>11136</v>
      </c>
      <c r="P385" s="68">
        <f>'Bieu 10c XSKT 2016'!L16</f>
        <v>11136</v>
      </c>
      <c r="Q385" s="68">
        <f>'Bieu 10c XSKT 2016'!M16</f>
        <v>15850</v>
      </c>
      <c r="R385" s="68">
        <f>'Bieu 10c XSKT 2016'!M16</f>
        <v>15850</v>
      </c>
      <c r="S385" s="68">
        <f>'Bieu 10c XSKT 2016'!N16</f>
        <v>13850</v>
      </c>
      <c r="T385" s="68">
        <f>'Bieu 10c XSKT 2016'!O16</f>
        <v>21364</v>
      </c>
      <c r="U385" s="68">
        <f>'Bieu 10c XSKT 2016'!Q16</f>
        <v>40426</v>
      </c>
      <c r="V385" s="68">
        <f>'Bieu 10c XSKT 2016'!R16</f>
        <v>36870</v>
      </c>
      <c r="W385" s="68"/>
      <c r="X385" s="68">
        <f>'Bieu 10c XSKT 2016'!S16</f>
        <v>11000</v>
      </c>
      <c r="Y385" s="68">
        <f>'Bieu 10c XSKT 2016'!T16</f>
        <v>0</v>
      </c>
      <c r="Z385" s="68"/>
      <c r="AA385" s="37" t="s">
        <v>751</v>
      </c>
      <c r="AB385" s="336">
        <v>11000</v>
      </c>
      <c r="AC385" s="337">
        <f t="shared" si="66"/>
        <v>0</v>
      </c>
      <c r="AD385" s="36"/>
      <c r="AE385" s="36"/>
      <c r="AF385" s="36">
        <v>10000</v>
      </c>
      <c r="AG385" s="37"/>
      <c r="AH385" s="37"/>
      <c r="AI385" s="37"/>
      <c r="AJ385" s="37"/>
      <c r="AK385" s="34"/>
      <c r="AL385" s="35">
        <f>+X385-AF385</f>
        <v>1000</v>
      </c>
    </row>
    <row r="386" spans="1:45" s="169" customFormat="1" ht="31.5" customHeight="1" hidden="1">
      <c r="A386" s="76"/>
      <c r="B386" s="295"/>
      <c r="C386" s="75"/>
      <c r="D386" s="296"/>
      <c r="E386" s="296"/>
      <c r="F386" s="297"/>
      <c r="G386" s="298"/>
      <c r="H386" s="299"/>
      <c r="I386" s="300"/>
      <c r="J386" s="257"/>
      <c r="K386" s="301"/>
      <c r="L386" s="301"/>
      <c r="M386" s="301"/>
      <c r="N386" s="301"/>
      <c r="O386" s="301"/>
      <c r="P386" s="301"/>
      <c r="Q386" s="301"/>
      <c r="R386" s="301"/>
      <c r="S386" s="257"/>
      <c r="T386" s="257"/>
      <c r="U386" s="301"/>
      <c r="V386" s="301"/>
      <c r="W386" s="301"/>
      <c r="X386" s="301"/>
      <c r="Y386" s="301"/>
      <c r="Z386" s="301"/>
      <c r="AA386" s="37"/>
      <c r="AB386" s="36"/>
      <c r="AC386" s="338">
        <f t="shared" si="66"/>
        <v>0</v>
      </c>
      <c r="AD386" s="36"/>
      <c r="AE386" s="36"/>
      <c r="AF386" s="36"/>
      <c r="AG386" s="37"/>
      <c r="AH386" s="37"/>
      <c r="AI386" s="37"/>
      <c r="AJ386" s="37"/>
      <c r="AK386" s="24"/>
      <c r="AL386" s="35"/>
      <c r="AM386" s="166"/>
      <c r="AN386" s="167"/>
      <c r="AO386" s="168"/>
      <c r="AP386" s="168"/>
      <c r="AR386" s="170"/>
      <c r="AS386" s="170"/>
    </row>
    <row r="387" spans="1:37" s="41" customFormat="1" ht="12.75">
      <c r="A387" s="49"/>
      <c r="B387" s="50"/>
      <c r="C387" s="51"/>
      <c r="D387" s="52"/>
      <c r="E387" s="52">
        <f>SUM(E123:E386)</f>
        <v>83</v>
      </c>
      <c r="F387" s="52"/>
      <c r="G387" s="52"/>
      <c r="U387" s="53"/>
      <c r="V387" s="53"/>
      <c r="W387" s="53"/>
      <c r="X387" s="53"/>
      <c r="Y387" s="53"/>
      <c r="Z387" s="53"/>
      <c r="AA387" s="51"/>
      <c r="AB387" s="51"/>
      <c r="AC387" s="339"/>
      <c r="AD387" s="51"/>
      <c r="AE387" s="51"/>
      <c r="AF387" s="51"/>
      <c r="AG387" s="54"/>
      <c r="AH387" s="54"/>
      <c r="AI387" s="54"/>
      <c r="AJ387" s="54"/>
      <c r="AK387" s="54"/>
    </row>
    <row r="388" spans="1:37" s="41" customFormat="1" ht="12.75">
      <c r="A388" s="49"/>
      <c r="B388" s="50"/>
      <c r="C388" s="51"/>
      <c r="D388" s="52"/>
      <c r="E388" s="52"/>
      <c r="F388" s="52"/>
      <c r="G388" s="52"/>
      <c r="U388" s="53"/>
      <c r="V388" s="53"/>
      <c r="W388" s="53"/>
      <c r="X388" s="53"/>
      <c r="Y388" s="53"/>
      <c r="Z388" s="53"/>
      <c r="AA388" s="51"/>
      <c r="AB388" s="51"/>
      <c r="AC388" s="339"/>
      <c r="AD388" s="51"/>
      <c r="AE388" s="51"/>
      <c r="AF388" s="51"/>
      <c r="AG388" s="54"/>
      <c r="AH388" s="54"/>
      <c r="AI388" s="54"/>
      <c r="AJ388" s="54"/>
      <c r="AK388" s="54"/>
    </row>
    <row r="389" spans="1:37" s="41" customFormat="1" ht="12.75">
      <c r="A389" s="49"/>
      <c r="B389" s="50"/>
      <c r="C389" s="51"/>
      <c r="D389" s="52"/>
      <c r="E389" s="52"/>
      <c r="F389" s="52"/>
      <c r="G389" s="52"/>
      <c r="U389" s="53"/>
      <c r="V389" s="53"/>
      <c r="W389" s="53"/>
      <c r="X389" s="53"/>
      <c r="Y389" s="53"/>
      <c r="Z389" s="53"/>
      <c r="AA389" s="51"/>
      <c r="AB389" s="51"/>
      <c r="AC389" s="339"/>
      <c r="AD389" s="51"/>
      <c r="AE389" s="51"/>
      <c r="AF389" s="51"/>
      <c r="AG389" s="54"/>
      <c r="AH389" s="54"/>
      <c r="AI389" s="54"/>
      <c r="AJ389" s="54"/>
      <c r="AK389" s="54"/>
    </row>
    <row r="390" spans="1:37" s="41" customFormat="1" ht="12.75">
      <c r="A390" s="49"/>
      <c r="B390" s="50"/>
      <c r="C390" s="51"/>
      <c r="D390" s="52"/>
      <c r="E390" s="52"/>
      <c r="F390" s="52"/>
      <c r="G390" s="52"/>
      <c r="U390" s="53"/>
      <c r="V390" s="53"/>
      <c r="W390" s="53"/>
      <c r="X390" s="53"/>
      <c r="Y390" s="53"/>
      <c r="Z390" s="53"/>
      <c r="AA390" s="51"/>
      <c r="AB390" s="51"/>
      <c r="AC390" s="339"/>
      <c r="AD390" s="51"/>
      <c r="AE390" s="51"/>
      <c r="AF390" s="51"/>
      <c r="AG390" s="54"/>
      <c r="AH390" s="54"/>
      <c r="AI390" s="54"/>
      <c r="AJ390" s="54"/>
      <c r="AK390" s="54"/>
    </row>
    <row r="391" spans="1:37" s="41" customFormat="1" ht="12.75">
      <c r="A391" s="49"/>
      <c r="B391" s="50"/>
      <c r="C391" s="51"/>
      <c r="D391" s="52"/>
      <c r="E391" s="52"/>
      <c r="F391" s="52"/>
      <c r="G391" s="52"/>
      <c r="U391" s="53"/>
      <c r="V391" s="53"/>
      <c r="W391" s="53"/>
      <c r="X391" s="53"/>
      <c r="Y391" s="53"/>
      <c r="Z391" s="53"/>
      <c r="AA391" s="51"/>
      <c r="AB391" s="51"/>
      <c r="AC391" s="339"/>
      <c r="AD391" s="51"/>
      <c r="AE391" s="51"/>
      <c r="AF391" s="51"/>
      <c r="AG391" s="54"/>
      <c r="AH391" s="54"/>
      <c r="AI391" s="54"/>
      <c r="AJ391" s="54"/>
      <c r="AK391" s="54"/>
    </row>
    <row r="392" spans="1:37" s="41" customFormat="1" ht="12.75">
      <c r="A392" s="49"/>
      <c r="B392" s="50"/>
      <c r="C392" s="51"/>
      <c r="D392" s="52"/>
      <c r="E392" s="52"/>
      <c r="F392" s="52"/>
      <c r="G392" s="52"/>
      <c r="U392" s="53"/>
      <c r="V392" s="53"/>
      <c r="W392" s="53"/>
      <c r="X392" s="53"/>
      <c r="Y392" s="53"/>
      <c r="Z392" s="53"/>
      <c r="AA392" s="51"/>
      <c r="AB392" s="51"/>
      <c r="AC392" s="339"/>
      <c r="AD392" s="51"/>
      <c r="AE392" s="51"/>
      <c r="AF392" s="51"/>
      <c r="AG392" s="54"/>
      <c r="AH392" s="54"/>
      <c r="AI392" s="54"/>
      <c r="AJ392" s="54"/>
      <c r="AK392" s="54"/>
    </row>
    <row r="393" spans="1:37" s="41" customFormat="1" ht="12.75">
      <c r="A393" s="49"/>
      <c r="B393" s="50"/>
      <c r="C393" s="51"/>
      <c r="D393" s="52"/>
      <c r="E393" s="52"/>
      <c r="F393" s="52"/>
      <c r="G393" s="52"/>
      <c r="U393" s="53"/>
      <c r="V393" s="53"/>
      <c r="W393" s="53"/>
      <c r="X393" s="53"/>
      <c r="Y393" s="53"/>
      <c r="Z393" s="53"/>
      <c r="AA393" s="51"/>
      <c r="AB393" s="51"/>
      <c r="AC393" s="339"/>
      <c r="AD393" s="51"/>
      <c r="AE393" s="51"/>
      <c r="AF393" s="51"/>
      <c r="AG393" s="54"/>
      <c r="AH393" s="54"/>
      <c r="AI393" s="54"/>
      <c r="AJ393" s="54"/>
      <c r="AK393" s="54"/>
    </row>
    <row r="394" spans="1:37" s="41" customFormat="1" ht="12.75">
      <c r="A394" s="49"/>
      <c r="B394" s="50"/>
      <c r="C394" s="51"/>
      <c r="D394" s="52"/>
      <c r="E394" s="52"/>
      <c r="F394" s="52"/>
      <c r="G394" s="52"/>
      <c r="U394" s="53"/>
      <c r="V394" s="53"/>
      <c r="W394" s="53"/>
      <c r="X394" s="53"/>
      <c r="Y394" s="53"/>
      <c r="Z394" s="53"/>
      <c r="AA394" s="51"/>
      <c r="AB394" s="51"/>
      <c r="AC394" s="339"/>
      <c r="AD394" s="51"/>
      <c r="AE394" s="51"/>
      <c r="AF394" s="51"/>
      <c r="AG394" s="54"/>
      <c r="AH394" s="54"/>
      <c r="AI394" s="54"/>
      <c r="AJ394" s="54"/>
      <c r="AK394" s="54"/>
    </row>
    <row r="395" spans="1:37" s="41" customFormat="1" ht="12.75">
      <c r="A395" s="49"/>
      <c r="B395" s="50"/>
      <c r="C395" s="51"/>
      <c r="D395" s="52"/>
      <c r="E395" s="52"/>
      <c r="F395" s="52"/>
      <c r="G395" s="52"/>
      <c r="U395" s="53"/>
      <c r="V395" s="53"/>
      <c r="W395" s="53"/>
      <c r="X395" s="53"/>
      <c r="Y395" s="53"/>
      <c r="Z395" s="53"/>
      <c r="AA395" s="51"/>
      <c r="AB395" s="51"/>
      <c r="AC395" s="339"/>
      <c r="AD395" s="51"/>
      <c r="AE395" s="51"/>
      <c r="AF395" s="51"/>
      <c r="AG395" s="54"/>
      <c r="AH395" s="54"/>
      <c r="AI395" s="54"/>
      <c r="AJ395" s="54"/>
      <c r="AK395" s="54"/>
    </row>
    <row r="396" spans="1:37" s="41" customFormat="1" ht="12.75">
      <c r="A396" s="49"/>
      <c r="B396" s="50"/>
      <c r="C396" s="51"/>
      <c r="D396" s="52"/>
      <c r="E396" s="52"/>
      <c r="F396" s="52"/>
      <c r="G396" s="52"/>
      <c r="U396" s="53"/>
      <c r="V396" s="53"/>
      <c r="W396" s="53"/>
      <c r="X396" s="53"/>
      <c r="Y396" s="53"/>
      <c r="Z396" s="53"/>
      <c r="AA396" s="51"/>
      <c r="AB396" s="51"/>
      <c r="AC396" s="339"/>
      <c r="AD396" s="51"/>
      <c r="AE396" s="51"/>
      <c r="AF396" s="51"/>
      <c r="AG396" s="54"/>
      <c r="AH396" s="54"/>
      <c r="AI396" s="54"/>
      <c r="AJ396" s="54"/>
      <c r="AK396" s="54"/>
    </row>
    <row r="397" spans="1:37" s="41" customFormat="1" ht="12.75">
      <c r="A397" s="49"/>
      <c r="B397" s="50"/>
      <c r="C397" s="51"/>
      <c r="D397" s="52"/>
      <c r="E397" s="52"/>
      <c r="F397" s="52"/>
      <c r="G397" s="52"/>
      <c r="U397" s="53"/>
      <c r="V397" s="53"/>
      <c r="W397" s="53"/>
      <c r="X397" s="53"/>
      <c r="Y397" s="53"/>
      <c r="Z397" s="53"/>
      <c r="AA397" s="51"/>
      <c r="AB397" s="51"/>
      <c r="AC397" s="339"/>
      <c r="AD397" s="51"/>
      <c r="AE397" s="51"/>
      <c r="AF397" s="51"/>
      <c r="AG397" s="54"/>
      <c r="AH397" s="54"/>
      <c r="AI397" s="54"/>
      <c r="AJ397" s="54"/>
      <c r="AK397" s="54"/>
    </row>
    <row r="398" spans="1:37" s="41" customFormat="1" ht="12.75">
      <c r="A398" s="49"/>
      <c r="B398" s="50"/>
      <c r="C398" s="51"/>
      <c r="D398" s="52"/>
      <c r="E398" s="52"/>
      <c r="F398" s="52"/>
      <c r="G398" s="52"/>
      <c r="U398" s="53"/>
      <c r="V398" s="53"/>
      <c r="W398" s="53"/>
      <c r="X398" s="53"/>
      <c r="Y398" s="53"/>
      <c r="Z398" s="53"/>
      <c r="AA398" s="51"/>
      <c r="AB398" s="51"/>
      <c r="AC398" s="339"/>
      <c r="AD398" s="51"/>
      <c r="AE398" s="51"/>
      <c r="AF398" s="51"/>
      <c r="AG398" s="54"/>
      <c r="AH398" s="54"/>
      <c r="AI398" s="54"/>
      <c r="AJ398" s="54"/>
      <c r="AK398" s="54"/>
    </row>
    <row r="399" spans="1:37" s="41" customFormat="1" ht="12.75">
      <c r="A399" s="49"/>
      <c r="B399" s="50"/>
      <c r="C399" s="51"/>
      <c r="D399" s="52"/>
      <c r="E399" s="52"/>
      <c r="F399" s="52"/>
      <c r="G399" s="52"/>
      <c r="U399" s="53"/>
      <c r="V399" s="53"/>
      <c r="W399" s="53"/>
      <c r="X399" s="53"/>
      <c r="Y399" s="53"/>
      <c r="Z399" s="53"/>
      <c r="AA399" s="51"/>
      <c r="AB399" s="51"/>
      <c r="AC399" s="339"/>
      <c r="AD399" s="51"/>
      <c r="AE399" s="51"/>
      <c r="AF399" s="51"/>
      <c r="AG399" s="54"/>
      <c r="AH399" s="54"/>
      <c r="AI399" s="54"/>
      <c r="AJ399" s="54"/>
      <c r="AK399" s="54"/>
    </row>
    <row r="400" spans="1:37" s="41" customFormat="1" ht="12.75">
      <c r="A400" s="49"/>
      <c r="B400" s="50"/>
      <c r="C400" s="51"/>
      <c r="D400" s="52"/>
      <c r="E400" s="52"/>
      <c r="F400" s="52"/>
      <c r="G400" s="52"/>
      <c r="U400" s="53"/>
      <c r="V400" s="53"/>
      <c r="W400" s="53"/>
      <c r="X400" s="53"/>
      <c r="Y400" s="53"/>
      <c r="Z400" s="53"/>
      <c r="AA400" s="51"/>
      <c r="AB400" s="51"/>
      <c r="AC400" s="339"/>
      <c r="AD400" s="51"/>
      <c r="AE400" s="51"/>
      <c r="AF400" s="51"/>
      <c r="AG400" s="54"/>
      <c r="AH400" s="54"/>
      <c r="AI400" s="54"/>
      <c r="AJ400" s="54"/>
      <c r="AK400" s="54"/>
    </row>
    <row r="401" spans="1:37" s="41" customFormat="1" ht="12.75">
      <c r="A401" s="49"/>
      <c r="B401" s="50"/>
      <c r="C401" s="51"/>
      <c r="D401" s="52"/>
      <c r="E401" s="52"/>
      <c r="F401" s="52"/>
      <c r="G401" s="52"/>
      <c r="U401" s="53"/>
      <c r="V401" s="53"/>
      <c r="W401" s="53"/>
      <c r="X401" s="53"/>
      <c r="Y401" s="53"/>
      <c r="Z401" s="53"/>
      <c r="AA401" s="51"/>
      <c r="AB401" s="51"/>
      <c r="AC401" s="339"/>
      <c r="AD401" s="51"/>
      <c r="AE401" s="51"/>
      <c r="AF401" s="51"/>
      <c r="AG401" s="54"/>
      <c r="AH401" s="54"/>
      <c r="AI401" s="54"/>
      <c r="AJ401" s="54"/>
      <c r="AK401" s="54"/>
    </row>
    <row r="402" spans="1:37" s="41" customFormat="1" ht="12.75">
      <c r="A402" s="49"/>
      <c r="B402" s="50"/>
      <c r="C402" s="51"/>
      <c r="D402" s="52"/>
      <c r="E402" s="52"/>
      <c r="F402" s="52"/>
      <c r="G402" s="52"/>
      <c r="U402" s="53"/>
      <c r="V402" s="53"/>
      <c r="W402" s="53"/>
      <c r="X402" s="53"/>
      <c r="Y402" s="53"/>
      <c r="Z402" s="53"/>
      <c r="AA402" s="51"/>
      <c r="AB402" s="51"/>
      <c r="AC402" s="339"/>
      <c r="AD402" s="51"/>
      <c r="AE402" s="51"/>
      <c r="AF402" s="51"/>
      <c r="AG402" s="54"/>
      <c r="AH402" s="54"/>
      <c r="AI402" s="54"/>
      <c r="AJ402" s="54"/>
      <c r="AK402" s="54"/>
    </row>
    <row r="403" spans="1:37" s="41" customFormat="1" ht="12.75">
      <c r="A403" s="49"/>
      <c r="B403" s="50"/>
      <c r="C403" s="51"/>
      <c r="D403" s="52"/>
      <c r="E403" s="52"/>
      <c r="F403" s="52"/>
      <c r="G403" s="52"/>
      <c r="U403" s="53"/>
      <c r="V403" s="53"/>
      <c r="W403" s="53"/>
      <c r="X403" s="53"/>
      <c r="Y403" s="53"/>
      <c r="Z403" s="53"/>
      <c r="AA403" s="51"/>
      <c r="AB403" s="51"/>
      <c r="AC403" s="339"/>
      <c r="AD403" s="51"/>
      <c r="AE403" s="51"/>
      <c r="AF403" s="51"/>
      <c r="AG403" s="54"/>
      <c r="AH403" s="54"/>
      <c r="AI403" s="54"/>
      <c r="AJ403" s="54"/>
      <c r="AK403" s="54"/>
    </row>
    <row r="404" spans="1:37" s="41" customFormat="1" ht="12.75">
      <c r="A404" s="49"/>
      <c r="B404" s="50"/>
      <c r="C404" s="51"/>
      <c r="D404" s="52"/>
      <c r="E404" s="52"/>
      <c r="F404" s="52"/>
      <c r="G404" s="52"/>
      <c r="U404" s="53"/>
      <c r="V404" s="53"/>
      <c r="W404" s="53"/>
      <c r="X404" s="53"/>
      <c r="Y404" s="53"/>
      <c r="Z404" s="53"/>
      <c r="AA404" s="51"/>
      <c r="AB404" s="51"/>
      <c r="AC404" s="339"/>
      <c r="AD404" s="51"/>
      <c r="AE404" s="51"/>
      <c r="AF404" s="51"/>
      <c r="AG404" s="54"/>
      <c r="AH404" s="54"/>
      <c r="AI404" s="54"/>
      <c r="AJ404" s="54"/>
      <c r="AK404" s="54"/>
    </row>
    <row r="405" spans="1:37" s="41" customFormat="1" ht="12.75">
      <c r="A405" s="49"/>
      <c r="B405" s="50"/>
      <c r="C405" s="51"/>
      <c r="D405" s="52"/>
      <c r="E405" s="52"/>
      <c r="F405" s="52"/>
      <c r="G405" s="52"/>
      <c r="U405" s="53"/>
      <c r="V405" s="53"/>
      <c r="W405" s="53"/>
      <c r="X405" s="53"/>
      <c r="Y405" s="53"/>
      <c r="Z405" s="53"/>
      <c r="AA405" s="51"/>
      <c r="AB405" s="51"/>
      <c r="AC405" s="339"/>
      <c r="AD405" s="51"/>
      <c r="AE405" s="51"/>
      <c r="AF405" s="51"/>
      <c r="AG405" s="54"/>
      <c r="AH405" s="54"/>
      <c r="AI405" s="54"/>
      <c r="AJ405" s="54"/>
      <c r="AK405" s="54"/>
    </row>
    <row r="406" spans="1:37" s="41" customFormat="1" ht="12.75">
      <c r="A406" s="49"/>
      <c r="B406" s="50"/>
      <c r="C406" s="51"/>
      <c r="D406" s="52"/>
      <c r="E406" s="52"/>
      <c r="F406" s="52"/>
      <c r="G406" s="52"/>
      <c r="U406" s="53"/>
      <c r="V406" s="53"/>
      <c r="W406" s="53"/>
      <c r="X406" s="53"/>
      <c r="Y406" s="53"/>
      <c r="Z406" s="53"/>
      <c r="AA406" s="51"/>
      <c r="AB406" s="51"/>
      <c r="AC406" s="339"/>
      <c r="AD406" s="51"/>
      <c r="AE406" s="51"/>
      <c r="AF406" s="51"/>
      <c r="AG406" s="54"/>
      <c r="AH406" s="54"/>
      <c r="AI406" s="54"/>
      <c r="AJ406" s="54"/>
      <c r="AK406" s="54"/>
    </row>
    <row r="407" spans="1:37" s="41" customFormat="1" ht="12.75">
      <c r="A407" s="49"/>
      <c r="B407" s="50"/>
      <c r="C407" s="51"/>
      <c r="D407" s="52"/>
      <c r="E407" s="52"/>
      <c r="F407" s="52"/>
      <c r="G407" s="52"/>
      <c r="U407" s="53"/>
      <c r="V407" s="53"/>
      <c r="W407" s="53"/>
      <c r="X407" s="53"/>
      <c r="Y407" s="53"/>
      <c r="Z407" s="53"/>
      <c r="AA407" s="51"/>
      <c r="AB407" s="51"/>
      <c r="AC407" s="339"/>
      <c r="AD407" s="51"/>
      <c r="AE407" s="51"/>
      <c r="AF407" s="51"/>
      <c r="AG407" s="54"/>
      <c r="AH407" s="54"/>
      <c r="AI407" s="54"/>
      <c r="AJ407" s="54"/>
      <c r="AK407" s="54"/>
    </row>
    <row r="408" spans="1:37" s="41" customFormat="1" ht="12.75">
      <c r="A408" s="49"/>
      <c r="B408" s="50"/>
      <c r="C408" s="51"/>
      <c r="D408" s="52"/>
      <c r="E408" s="52"/>
      <c r="F408" s="52"/>
      <c r="G408" s="52"/>
      <c r="U408" s="53"/>
      <c r="V408" s="53"/>
      <c r="W408" s="53"/>
      <c r="X408" s="53"/>
      <c r="Y408" s="53"/>
      <c r="Z408" s="53"/>
      <c r="AA408" s="51"/>
      <c r="AB408" s="51"/>
      <c r="AC408" s="339"/>
      <c r="AD408" s="51"/>
      <c r="AE408" s="51"/>
      <c r="AF408" s="51"/>
      <c r="AG408" s="54"/>
      <c r="AH408" s="54"/>
      <c r="AI408" s="54"/>
      <c r="AJ408" s="54"/>
      <c r="AK408" s="54"/>
    </row>
    <row r="409" spans="1:37" s="41" customFormat="1" ht="12.75">
      <c r="A409" s="49"/>
      <c r="B409" s="50"/>
      <c r="C409" s="51"/>
      <c r="D409" s="52"/>
      <c r="E409" s="52"/>
      <c r="F409" s="52"/>
      <c r="G409" s="52"/>
      <c r="U409" s="53"/>
      <c r="V409" s="53"/>
      <c r="W409" s="53"/>
      <c r="X409" s="53"/>
      <c r="Y409" s="53"/>
      <c r="Z409" s="53"/>
      <c r="AA409" s="51"/>
      <c r="AB409" s="51"/>
      <c r="AC409" s="339"/>
      <c r="AD409" s="51"/>
      <c r="AE409" s="51"/>
      <c r="AF409" s="51"/>
      <c r="AG409" s="54"/>
      <c r="AH409" s="54"/>
      <c r="AI409" s="54"/>
      <c r="AJ409" s="54"/>
      <c r="AK409" s="54"/>
    </row>
    <row r="410" spans="1:37" s="41" customFormat="1" ht="12.75">
      <c r="A410" s="49"/>
      <c r="B410" s="50"/>
      <c r="C410" s="51"/>
      <c r="D410" s="52"/>
      <c r="E410" s="52"/>
      <c r="F410" s="52"/>
      <c r="G410" s="52"/>
      <c r="U410" s="53"/>
      <c r="V410" s="53"/>
      <c r="W410" s="53"/>
      <c r="X410" s="53"/>
      <c r="Y410" s="53"/>
      <c r="Z410" s="53"/>
      <c r="AA410" s="51"/>
      <c r="AB410" s="51"/>
      <c r="AC410" s="339"/>
      <c r="AD410" s="51"/>
      <c r="AE410" s="51"/>
      <c r="AF410" s="51"/>
      <c r="AG410" s="54"/>
      <c r="AH410" s="54"/>
      <c r="AI410" s="54"/>
      <c r="AJ410" s="54"/>
      <c r="AK410" s="54"/>
    </row>
    <row r="411" spans="1:37" s="41" customFormat="1" ht="12.75">
      <c r="A411" s="49"/>
      <c r="B411" s="50"/>
      <c r="C411" s="51"/>
      <c r="D411" s="52"/>
      <c r="E411" s="52"/>
      <c r="F411" s="52"/>
      <c r="G411" s="52"/>
      <c r="U411" s="53"/>
      <c r="V411" s="53"/>
      <c r="W411" s="53"/>
      <c r="X411" s="53"/>
      <c r="Y411" s="53"/>
      <c r="Z411" s="53"/>
      <c r="AA411" s="51"/>
      <c r="AB411" s="51"/>
      <c r="AC411" s="339"/>
      <c r="AD411" s="51"/>
      <c r="AE411" s="51"/>
      <c r="AF411" s="51"/>
      <c r="AG411" s="54"/>
      <c r="AH411" s="54"/>
      <c r="AI411" s="54"/>
      <c r="AJ411" s="54"/>
      <c r="AK411" s="54"/>
    </row>
    <row r="412" spans="1:37" s="41" customFormat="1" ht="12.75">
      <c r="A412" s="49"/>
      <c r="B412" s="50"/>
      <c r="C412" s="51"/>
      <c r="D412" s="52"/>
      <c r="E412" s="52"/>
      <c r="F412" s="52"/>
      <c r="G412" s="52"/>
      <c r="U412" s="53"/>
      <c r="V412" s="53"/>
      <c r="W412" s="53"/>
      <c r="X412" s="53"/>
      <c r="Y412" s="53"/>
      <c r="Z412" s="53"/>
      <c r="AA412" s="51"/>
      <c r="AB412" s="51"/>
      <c r="AC412" s="339"/>
      <c r="AD412" s="51"/>
      <c r="AE412" s="51"/>
      <c r="AF412" s="51"/>
      <c r="AG412" s="54"/>
      <c r="AH412" s="54"/>
      <c r="AI412" s="54"/>
      <c r="AJ412" s="54"/>
      <c r="AK412" s="54"/>
    </row>
    <row r="413" spans="1:37" s="41" customFormat="1" ht="12.75">
      <c r="A413" s="49"/>
      <c r="B413" s="50"/>
      <c r="C413" s="51"/>
      <c r="D413" s="52"/>
      <c r="E413" s="52"/>
      <c r="F413" s="52"/>
      <c r="G413" s="52"/>
      <c r="U413" s="53"/>
      <c r="V413" s="53"/>
      <c r="W413" s="53"/>
      <c r="X413" s="53"/>
      <c r="Y413" s="53"/>
      <c r="Z413" s="53"/>
      <c r="AA413" s="51"/>
      <c r="AB413" s="51"/>
      <c r="AC413" s="339"/>
      <c r="AD413" s="51"/>
      <c r="AE413" s="51"/>
      <c r="AF413" s="51"/>
      <c r="AG413" s="54"/>
      <c r="AH413" s="54"/>
      <c r="AI413" s="54"/>
      <c r="AJ413" s="54"/>
      <c r="AK413" s="54"/>
    </row>
    <row r="414" spans="1:37" s="41" customFormat="1" ht="12.75">
      <c r="A414" s="49"/>
      <c r="B414" s="50"/>
      <c r="C414" s="51"/>
      <c r="D414" s="52"/>
      <c r="E414" s="52"/>
      <c r="F414" s="52"/>
      <c r="G414" s="52"/>
      <c r="U414" s="53"/>
      <c r="V414" s="53"/>
      <c r="W414" s="53"/>
      <c r="X414" s="53"/>
      <c r="Y414" s="53"/>
      <c r="Z414" s="53"/>
      <c r="AA414" s="51"/>
      <c r="AB414" s="51"/>
      <c r="AC414" s="339"/>
      <c r="AD414" s="51"/>
      <c r="AE414" s="51"/>
      <c r="AF414" s="51"/>
      <c r="AG414" s="54"/>
      <c r="AH414" s="54"/>
      <c r="AI414" s="54"/>
      <c r="AJ414" s="54"/>
      <c r="AK414" s="54"/>
    </row>
    <row r="415" spans="1:37" s="41" customFormat="1" ht="12.75">
      <c r="A415" s="49"/>
      <c r="B415" s="50"/>
      <c r="C415" s="51"/>
      <c r="D415" s="52"/>
      <c r="E415" s="52"/>
      <c r="F415" s="52"/>
      <c r="G415" s="52"/>
      <c r="U415" s="53"/>
      <c r="V415" s="53"/>
      <c r="W415" s="53"/>
      <c r="X415" s="53"/>
      <c r="Y415" s="53"/>
      <c r="Z415" s="53"/>
      <c r="AA415" s="51"/>
      <c r="AB415" s="51"/>
      <c r="AC415" s="339"/>
      <c r="AD415" s="51"/>
      <c r="AE415" s="51"/>
      <c r="AF415" s="51"/>
      <c r="AG415" s="54"/>
      <c r="AH415" s="54"/>
      <c r="AI415" s="54"/>
      <c r="AJ415" s="54"/>
      <c r="AK415" s="54"/>
    </row>
    <row r="416" spans="1:37" s="41" customFormat="1" ht="12.75">
      <c r="A416" s="49"/>
      <c r="B416" s="50"/>
      <c r="C416" s="51"/>
      <c r="D416" s="52"/>
      <c r="E416" s="52"/>
      <c r="F416" s="52"/>
      <c r="G416" s="52"/>
      <c r="U416" s="53"/>
      <c r="V416" s="53"/>
      <c r="W416" s="53"/>
      <c r="X416" s="53"/>
      <c r="Y416" s="53"/>
      <c r="Z416" s="53"/>
      <c r="AA416" s="51"/>
      <c r="AB416" s="51"/>
      <c r="AC416" s="339"/>
      <c r="AD416" s="51"/>
      <c r="AE416" s="51"/>
      <c r="AF416" s="51"/>
      <c r="AG416" s="54"/>
      <c r="AH416" s="54"/>
      <c r="AI416" s="54"/>
      <c r="AJ416" s="54"/>
      <c r="AK416" s="54"/>
    </row>
    <row r="417" spans="1:37" s="41" customFormat="1" ht="12.75">
      <c r="A417" s="49"/>
      <c r="B417" s="50"/>
      <c r="C417" s="51"/>
      <c r="D417" s="52"/>
      <c r="E417" s="52"/>
      <c r="F417" s="52"/>
      <c r="G417" s="52"/>
      <c r="U417" s="53"/>
      <c r="V417" s="53"/>
      <c r="W417" s="53"/>
      <c r="X417" s="53"/>
      <c r="Y417" s="53"/>
      <c r="Z417" s="53"/>
      <c r="AA417" s="51"/>
      <c r="AB417" s="51"/>
      <c r="AC417" s="339"/>
      <c r="AD417" s="51"/>
      <c r="AE417" s="51"/>
      <c r="AF417" s="51"/>
      <c r="AG417" s="54"/>
      <c r="AH417" s="54"/>
      <c r="AI417" s="54"/>
      <c r="AJ417" s="54"/>
      <c r="AK417" s="54"/>
    </row>
    <row r="418" spans="1:37" s="41" customFormat="1" ht="12.75">
      <c r="A418" s="49"/>
      <c r="B418" s="50"/>
      <c r="C418" s="51"/>
      <c r="D418" s="52"/>
      <c r="E418" s="52"/>
      <c r="F418" s="52"/>
      <c r="G418" s="52"/>
      <c r="U418" s="53"/>
      <c r="V418" s="53"/>
      <c r="W418" s="53"/>
      <c r="X418" s="53"/>
      <c r="Y418" s="53"/>
      <c r="Z418" s="53"/>
      <c r="AA418" s="51"/>
      <c r="AB418" s="51"/>
      <c r="AC418" s="339"/>
      <c r="AD418" s="51"/>
      <c r="AE418" s="51"/>
      <c r="AF418" s="51"/>
      <c r="AG418" s="54"/>
      <c r="AH418" s="54"/>
      <c r="AI418" s="54"/>
      <c r="AJ418" s="54"/>
      <c r="AK418" s="54"/>
    </row>
    <row r="419" spans="1:37" s="41" customFormat="1" ht="12.75">
      <c r="A419" s="49"/>
      <c r="B419" s="50"/>
      <c r="C419" s="51"/>
      <c r="D419" s="52"/>
      <c r="E419" s="52"/>
      <c r="F419" s="52"/>
      <c r="G419" s="52"/>
      <c r="U419" s="53"/>
      <c r="V419" s="53"/>
      <c r="W419" s="53"/>
      <c r="X419" s="53"/>
      <c r="Y419" s="53"/>
      <c r="Z419" s="53"/>
      <c r="AA419" s="51"/>
      <c r="AB419" s="51"/>
      <c r="AC419" s="339"/>
      <c r="AD419" s="51"/>
      <c r="AE419" s="51"/>
      <c r="AF419" s="51"/>
      <c r="AG419" s="54"/>
      <c r="AH419" s="54"/>
      <c r="AI419" s="54"/>
      <c r="AJ419" s="54"/>
      <c r="AK419" s="54"/>
    </row>
    <row r="420" spans="1:37" s="41" customFormat="1" ht="12.75">
      <c r="A420" s="49"/>
      <c r="B420" s="50"/>
      <c r="C420" s="51"/>
      <c r="D420" s="52"/>
      <c r="E420" s="52"/>
      <c r="F420" s="52"/>
      <c r="G420" s="52"/>
      <c r="U420" s="53"/>
      <c r="V420" s="53"/>
      <c r="W420" s="53"/>
      <c r="X420" s="53"/>
      <c r="Y420" s="53"/>
      <c r="Z420" s="53"/>
      <c r="AA420" s="51"/>
      <c r="AB420" s="51"/>
      <c r="AC420" s="339"/>
      <c r="AD420" s="51"/>
      <c r="AE420" s="51"/>
      <c r="AF420" s="51"/>
      <c r="AG420" s="54"/>
      <c r="AH420" s="54"/>
      <c r="AI420" s="54"/>
      <c r="AJ420" s="54"/>
      <c r="AK420" s="54"/>
    </row>
    <row r="421" spans="1:37" s="41" customFormat="1" ht="12.75">
      <c r="A421" s="49"/>
      <c r="B421" s="50"/>
      <c r="C421" s="51"/>
      <c r="D421" s="52"/>
      <c r="E421" s="52"/>
      <c r="F421" s="52"/>
      <c r="G421" s="52"/>
      <c r="U421" s="53"/>
      <c r="V421" s="53"/>
      <c r="W421" s="53"/>
      <c r="X421" s="53"/>
      <c r="Y421" s="53"/>
      <c r="Z421" s="53"/>
      <c r="AA421" s="51"/>
      <c r="AB421" s="51"/>
      <c r="AC421" s="339"/>
      <c r="AD421" s="51"/>
      <c r="AE421" s="51"/>
      <c r="AF421" s="51"/>
      <c r="AG421" s="54"/>
      <c r="AH421" s="54"/>
      <c r="AI421" s="54"/>
      <c r="AJ421" s="54"/>
      <c r="AK421" s="54"/>
    </row>
    <row r="422" spans="1:37" s="41" customFormat="1" ht="12.75">
      <c r="A422" s="49"/>
      <c r="B422" s="50"/>
      <c r="C422" s="51"/>
      <c r="D422" s="52"/>
      <c r="E422" s="52"/>
      <c r="F422" s="52"/>
      <c r="G422" s="52"/>
      <c r="U422" s="53"/>
      <c r="V422" s="53"/>
      <c r="W422" s="53"/>
      <c r="X422" s="53"/>
      <c r="Y422" s="53"/>
      <c r="Z422" s="53"/>
      <c r="AA422" s="51"/>
      <c r="AB422" s="51"/>
      <c r="AC422" s="339"/>
      <c r="AD422" s="51"/>
      <c r="AE422" s="51"/>
      <c r="AF422" s="51"/>
      <c r="AG422" s="54"/>
      <c r="AH422" s="54"/>
      <c r="AI422" s="54"/>
      <c r="AJ422" s="54"/>
      <c r="AK422" s="54"/>
    </row>
    <row r="423" spans="1:37" s="41" customFormat="1" ht="12.75">
      <c r="A423" s="49"/>
      <c r="B423" s="50"/>
      <c r="C423" s="51"/>
      <c r="D423" s="52"/>
      <c r="E423" s="52"/>
      <c r="F423" s="52"/>
      <c r="G423" s="52"/>
      <c r="U423" s="53"/>
      <c r="V423" s="53"/>
      <c r="W423" s="53"/>
      <c r="X423" s="53"/>
      <c r="Y423" s="53"/>
      <c r="Z423" s="53"/>
      <c r="AA423" s="51"/>
      <c r="AB423" s="51"/>
      <c r="AC423" s="339"/>
      <c r="AD423" s="51"/>
      <c r="AE423" s="51"/>
      <c r="AF423" s="51"/>
      <c r="AG423" s="54"/>
      <c r="AH423" s="54"/>
      <c r="AI423" s="54"/>
      <c r="AJ423" s="54"/>
      <c r="AK423" s="54"/>
    </row>
    <row r="424" spans="1:37" s="41" customFormat="1" ht="12.75">
      <c r="A424" s="49"/>
      <c r="B424" s="640"/>
      <c r="C424" s="640"/>
      <c r="D424" s="640"/>
      <c r="E424" s="640"/>
      <c r="F424" s="640"/>
      <c r="G424" s="640"/>
      <c r="H424" s="640"/>
      <c r="I424" s="640"/>
      <c r="J424" s="640"/>
      <c r="K424" s="640"/>
      <c r="L424" s="640"/>
      <c r="M424" s="640"/>
      <c r="N424" s="640"/>
      <c r="O424" s="640"/>
      <c r="P424" s="640"/>
      <c r="Q424" s="640"/>
      <c r="R424" s="640"/>
      <c r="S424" s="640"/>
      <c r="T424" s="640"/>
      <c r="U424" s="640"/>
      <c r="V424" s="640"/>
      <c r="W424" s="640"/>
      <c r="X424" s="640"/>
      <c r="Y424" s="640"/>
      <c r="Z424" s="640"/>
      <c r="AA424" s="640"/>
      <c r="AB424" s="51"/>
      <c r="AC424" s="339"/>
      <c r="AD424" s="263"/>
      <c r="AE424" s="263"/>
      <c r="AG424" s="43"/>
      <c r="AH424" s="43"/>
      <c r="AI424" s="43"/>
      <c r="AJ424" s="43"/>
      <c r="AK424" s="43"/>
    </row>
    <row r="425" spans="1:37" s="41" customFormat="1" ht="12.75">
      <c r="A425" s="49"/>
      <c r="B425" s="50"/>
      <c r="C425" s="51"/>
      <c r="D425" s="52"/>
      <c r="E425" s="52"/>
      <c r="F425" s="52"/>
      <c r="G425" s="52"/>
      <c r="U425" s="53"/>
      <c r="V425" s="53"/>
      <c r="W425" s="53"/>
      <c r="X425" s="53"/>
      <c r="Y425" s="53"/>
      <c r="Z425" s="53"/>
      <c r="AA425" s="51"/>
      <c r="AB425" s="51"/>
      <c r="AC425" s="339"/>
      <c r="AD425" s="51"/>
      <c r="AE425" s="51"/>
      <c r="AF425" s="51"/>
      <c r="AG425" s="54"/>
      <c r="AH425" s="54"/>
      <c r="AI425" s="54"/>
      <c r="AJ425" s="54"/>
      <c r="AK425" s="54"/>
    </row>
    <row r="426" spans="1:37" s="41" customFormat="1" ht="12.75">
      <c r="A426" s="49"/>
      <c r="B426" s="50"/>
      <c r="C426" s="51"/>
      <c r="D426" s="52"/>
      <c r="E426" s="52"/>
      <c r="F426" s="52"/>
      <c r="G426" s="52"/>
      <c r="U426" s="53"/>
      <c r="V426" s="53"/>
      <c r="W426" s="53"/>
      <c r="X426" s="53"/>
      <c r="Y426" s="53"/>
      <c r="Z426" s="53"/>
      <c r="AA426" s="51"/>
      <c r="AB426" s="51"/>
      <c r="AC426" s="339"/>
      <c r="AD426" s="51"/>
      <c r="AE426" s="51"/>
      <c r="AF426" s="51"/>
      <c r="AG426" s="54"/>
      <c r="AH426" s="54"/>
      <c r="AI426" s="54"/>
      <c r="AJ426" s="54"/>
      <c r="AK426" s="54"/>
    </row>
    <row r="427" spans="1:37" s="41" customFormat="1" ht="12.75">
      <c r="A427" s="49"/>
      <c r="B427" s="50"/>
      <c r="C427" s="51"/>
      <c r="D427" s="52"/>
      <c r="E427" s="52"/>
      <c r="F427" s="52"/>
      <c r="G427" s="52"/>
      <c r="U427" s="53"/>
      <c r="V427" s="53"/>
      <c r="W427" s="53"/>
      <c r="X427" s="53"/>
      <c r="Y427" s="53"/>
      <c r="Z427" s="53"/>
      <c r="AA427" s="51"/>
      <c r="AB427" s="51"/>
      <c r="AC427" s="339"/>
      <c r="AD427" s="51"/>
      <c r="AE427" s="51"/>
      <c r="AF427" s="51"/>
      <c r="AG427" s="54"/>
      <c r="AH427" s="54"/>
      <c r="AI427" s="54"/>
      <c r="AJ427" s="54"/>
      <c r="AK427" s="54"/>
    </row>
    <row r="428" spans="1:37" s="41" customFormat="1" ht="12.75">
      <c r="A428" s="49"/>
      <c r="B428" s="50"/>
      <c r="C428" s="51"/>
      <c r="D428" s="52"/>
      <c r="E428" s="52"/>
      <c r="F428" s="52"/>
      <c r="G428" s="52"/>
      <c r="U428" s="53"/>
      <c r="V428" s="53"/>
      <c r="W428" s="53"/>
      <c r="X428" s="53"/>
      <c r="Y428" s="53"/>
      <c r="Z428" s="53"/>
      <c r="AA428" s="51"/>
      <c r="AB428" s="51"/>
      <c r="AC428" s="339"/>
      <c r="AD428" s="51"/>
      <c r="AE428" s="51"/>
      <c r="AF428" s="51"/>
      <c r="AG428" s="54"/>
      <c r="AH428" s="54"/>
      <c r="AI428" s="54"/>
      <c r="AJ428" s="54"/>
      <c r="AK428" s="54"/>
    </row>
    <row r="429" spans="1:37" s="41" customFormat="1" ht="12.75">
      <c r="A429" s="49"/>
      <c r="B429" s="50"/>
      <c r="C429" s="51"/>
      <c r="D429" s="52"/>
      <c r="E429" s="52"/>
      <c r="F429" s="52"/>
      <c r="G429" s="52"/>
      <c r="U429" s="53"/>
      <c r="V429" s="53"/>
      <c r="W429" s="53"/>
      <c r="X429" s="53"/>
      <c r="Y429" s="53"/>
      <c r="Z429" s="53"/>
      <c r="AA429" s="51"/>
      <c r="AB429" s="51"/>
      <c r="AC429" s="339"/>
      <c r="AD429" s="51"/>
      <c r="AE429" s="51"/>
      <c r="AF429" s="51"/>
      <c r="AG429" s="54"/>
      <c r="AH429" s="54"/>
      <c r="AI429" s="54"/>
      <c r="AJ429" s="54"/>
      <c r="AK429" s="54"/>
    </row>
    <row r="430" spans="1:37" s="41" customFormat="1" ht="12.75">
      <c r="A430" s="49"/>
      <c r="B430" s="50"/>
      <c r="C430" s="51"/>
      <c r="D430" s="52"/>
      <c r="E430" s="52"/>
      <c r="F430" s="52"/>
      <c r="G430" s="52"/>
      <c r="U430" s="53"/>
      <c r="V430" s="53"/>
      <c r="W430" s="53"/>
      <c r="X430" s="53"/>
      <c r="Y430" s="53"/>
      <c r="Z430" s="53"/>
      <c r="AA430" s="51"/>
      <c r="AB430" s="51"/>
      <c r="AC430" s="339"/>
      <c r="AD430" s="51"/>
      <c r="AE430" s="51"/>
      <c r="AF430" s="51"/>
      <c r="AG430" s="54"/>
      <c r="AH430" s="54"/>
      <c r="AI430" s="54"/>
      <c r="AJ430" s="54"/>
      <c r="AK430" s="54"/>
    </row>
    <row r="431" spans="1:37" s="41" customFormat="1" ht="12.75">
      <c r="A431" s="49"/>
      <c r="B431" s="50"/>
      <c r="C431" s="51"/>
      <c r="D431" s="52"/>
      <c r="E431" s="52"/>
      <c r="F431" s="52"/>
      <c r="G431" s="52"/>
      <c r="U431" s="53"/>
      <c r="V431" s="53"/>
      <c r="W431" s="53"/>
      <c r="X431" s="53"/>
      <c r="Y431" s="53"/>
      <c r="Z431" s="53"/>
      <c r="AA431" s="51"/>
      <c r="AB431" s="51"/>
      <c r="AC431" s="339"/>
      <c r="AD431" s="51"/>
      <c r="AE431" s="51"/>
      <c r="AF431" s="51"/>
      <c r="AG431" s="54"/>
      <c r="AH431" s="54"/>
      <c r="AI431" s="54"/>
      <c r="AJ431" s="54"/>
      <c r="AK431" s="54"/>
    </row>
    <row r="432" spans="1:37" s="41" customFormat="1" ht="12.75">
      <c r="A432" s="49"/>
      <c r="B432" s="50"/>
      <c r="C432" s="51"/>
      <c r="D432" s="52"/>
      <c r="E432" s="52"/>
      <c r="F432" s="52"/>
      <c r="G432" s="52"/>
      <c r="U432" s="53"/>
      <c r="V432" s="53"/>
      <c r="W432" s="53"/>
      <c r="X432" s="53"/>
      <c r="Y432" s="53"/>
      <c r="Z432" s="53"/>
      <c r="AA432" s="51"/>
      <c r="AB432" s="51"/>
      <c r="AC432" s="339"/>
      <c r="AD432" s="51"/>
      <c r="AE432" s="51"/>
      <c r="AF432" s="51"/>
      <c r="AG432" s="54"/>
      <c r="AH432" s="54"/>
      <c r="AI432" s="54"/>
      <c r="AJ432" s="54"/>
      <c r="AK432" s="54"/>
    </row>
    <row r="433" spans="1:37" s="41" customFormat="1" ht="12.75">
      <c r="A433" s="49"/>
      <c r="B433" s="50"/>
      <c r="C433" s="51"/>
      <c r="D433" s="52"/>
      <c r="E433" s="52"/>
      <c r="F433" s="52"/>
      <c r="G433" s="52"/>
      <c r="U433" s="53"/>
      <c r="V433" s="53"/>
      <c r="W433" s="53"/>
      <c r="X433" s="53"/>
      <c r="Y433" s="53"/>
      <c r="Z433" s="53"/>
      <c r="AA433" s="51"/>
      <c r="AB433" s="51"/>
      <c r="AC433" s="339"/>
      <c r="AD433" s="51"/>
      <c r="AE433" s="51"/>
      <c r="AF433" s="51"/>
      <c r="AG433" s="54"/>
      <c r="AH433" s="54"/>
      <c r="AI433" s="54"/>
      <c r="AJ433" s="54"/>
      <c r="AK433" s="54"/>
    </row>
    <row r="434" spans="1:37" s="41" customFormat="1" ht="12.75">
      <c r="A434" s="49"/>
      <c r="B434" s="50"/>
      <c r="C434" s="51"/>
      <c r="D434" s="52"/>
      <c r="E434" s="52"/>
      <c r="F434" s="52"/>
      <c r="G434" s="52"/>
      <c r="U434" s="53"/>
      <c r="V434" s="53"/>
      <c r="W434" s="53"/>
      <c r="X434" s="53"/>
      <c r="Y434" s="53"/>
      <c r="Z434" s="53"/>
      <c r="AA434" s="51"/>
      <c r="AB434" s="51"/>
      <c r="AC434" s="339"/>
      <c r="AD434" s="51"/>
      <c r="AE434" s="51"/>
      <c r="AF434" s="51"/>
      <c r="AG434" s="54"/>
      <c r="AH434" s="54"/>
      <c r="AI434" s="54"/>
      <c r="AJ434" s="54"/>
      <c r="AK434" s="54"/>
    </row>
    <row r="435" spans="1:37" s="41" customFormat="1" ht="12.75">
      <c r="A435" s="49"/>
      <c r="B435" s="50"/>
      <c r="C435" s="51"/>
      <c r="D435" s="52"/>
      <c r="E435" s="52"/>
      <c r="F435" s="52"/>
      <c r="G435" s="52"/>
      <c r="U435" s="53"/>
      <c r="V435" s="53"/>
      <c r="W435" s="53"/>
      <c r="X435" s="53"/>
      <c r="Y435" s="53"/>
      <c r="Z435" s="53"/>
      <c r="AA435" s="51"/>
      <c r="AB435" s="51"/>
      <c r="AC435" s="339"/>
      <c r="AD435" s="51"/>
      <c r="AE435" s="51"/>
      <c r="AF435" s="51"/>
      <c r="AG435" s="54"/>
      <c r="AH435" s="54"/>
      <c r="AI435" s="54"/>
      <c r="AJ435" s="54"/>
      <c r="AK435" s="54"/>
    </row>
    <row r="436" spans="1:37" s="41" customFormat="1" ht="12.75">
      <c r="A436" s="49"/>
      <c r="B436" s="50"/>
      <c r="C436" s="51"/>
      <c r="D436" s="52"/>
      <c r="E436" s="52"/>
      <c r="F436" s="52"/>
      <c r="G436" s="52"/>
      <c r="U436" s="53"/>
      <c r="V436" s="53"/>
      <c r="W436" s="53"/>
      <c r="X436" s="53"/>
      <c r="Y436" s="53"/>
      <c r="Z436" s="53"/>
      <c r="AA436" s="51"/>
      <c r="AB436" s="51"/>
      <c r="AC436" s="339"/>
      <c r="AD436" s="51"/>
      <c r="AE436" s="51"/>
      <c r="AF436" s="51"/>
      <c r="AG436" s="54"/>
      <c r="AH436" s="54"/>
      <c r="AI436" s="54"/>
      <c r="AJ436" s="54"/>
      <c r="AK436" s="54"/>
    </row>
    <row r="437" spans="1:37" s="41" customFormat="1" ht="12.75">
      <c r="A437" s="49"/>
      <c r="B437" s="50"/>
      <c r="C437" s="51"/>
      <c r="D437" s="52"/>
      <c r="E437" s="52"/>
      <c r="F437" s="52"/>
      <c r="G437" s="52"/>
      <c r="U437" s="53"/>
      <c r="V437" s="53"/>
      <c r="W437" s="53"/>
      <c r="X437" s="53"/>
      <c r="Y437" s="53"/>
      <c r="Z437" s="53"/>
      <c r="AA437" s="51"/>
      <c r="AB437" s="51"/>
      <c r="AC437" s="339"/>
      <c r="AD437" s="51"/>
      <c r="AE437" s="51"/>
      <c r="AF437" s="51"/>
      <c r="AG437" s="54"/>
      <c r="AH437" s="54"/>
      <c r="AI437" s="54"/>
      <c r="AJ437" s="54"/>
      <c r="AK437" s="54"/>
    </row>
    <row r="438" spans="1:37" s="41" customFormat="1" ht="12.75">
      <c r="A438" s="49"/>
      <c r="B438" s="50"/>
      <c r="C438" s="51"/>
      <c r="D438" s="52"/>
      <c r="E438" s="52"/>
      <c r="F438" s="52"/>
      <c r="G438" s="52"/>
      <c r="U438" s="53"/>
      <c r="V438" s="53"/>
      <c r="W438" s="53"/>
      <c r="X438" s="53"/>
      <c r="Y438" s="53"/>
      <c r="Z438" s="53"/>
      <c r="AA438" s="51"/>
      <c r="AB438" s="51"/>
      <c r="AC438" s="339"/>
      <c r="AD438" s="51"/>
      <c r="AE438" s="51"/>
      <c r="AF438" s="51"/>
      <c r="AG438" s="54"/>
      <c r="AH438" s="54"/>
      <c r="AI438" s="54"/>
      <c r="AJ438" s="54"/>
      <c r="AK438" s="54"/>
    </row>
    <row r="439" spans="1:37" s="41" customFormat="1" ht="12.75">
      <c r="A439" s="49"/>
      <c r="B439" s="50"/>
      <c r="C439" s="51"/>
      <c r="D439" s="52"/>
      <c r="E439" s="52"/>
      <c r="F439" s="52"/>
      <c r="G439" s="52"/>
      <c r="U439" s="53"/>
      <c r="V439" s="53"/>
      <c r="W439" s="53"/>
      <c r="X439" s="53"/>
      <c r="Y439" s="53"/>
      <c r="Z439" s="53"/>
      <c r="AA439" s="51"/>
      <c r="AB439" s="51"/>
      <c r="AC439" s="339"/>
      <c r="AD439" s="51"/>
      <c r="AE439" s="51"/>
      <c r="AF439" s="51"/>
      <c r="AG439" s="54"/>
      <c r="AH439" s="54"/>
      <c r="AI439" s="54"/>
      <c r="AJ439" s="54"/>
      <c r="AK439" s="54"/>
    </row>
    <row r="440" spans="1:37" s="41" customFormat="1" ht="12.75">
      <c r="A440" s="49"/>
      <c r="B440" s="50"/>
      <c r="C440" s="51"/>
      <c r="D440" s="52"/>
      <c r="E440" s="52"/>
      <c r="F440" s="52"/>
      <c r="G440" s="52"/>
      <c r="U440" s="53"/>
      <c r="V440" s="53"/>
      <c r="W440" s="53"/>
      <c r="X440" s="53"/>
      <c r="Y440" s="53"/>
      <c r="Z440" s="53"/>
      <c r="AA440" s="51"/>
      <c r="AB440" s="51"/>
      <c r="AC440" s="339"/>
      <c r="AD440" s="51"/>
      <c r="AE440" s="51"/>
      <c r="AF440" s="51"/>
      <c r="AG440" s="54"/>
      <c r="AH440" s="54"/>
      <c r="AI440" s="54"/>
      <c r="AJ440" s="54"/>
      <c r="AK440" s="54"/>
    </row>
    <row r="441" spans="1:37" s="41" customFormat="1" ht="12.75">
      <c r="A441" s="49"/>
      <c r="B441" s="50"/>
      <c r="C441" s="51"/>
      <c r="D441" s="52"/>
      <c r="E441" s="52"/>
      <c r="F441" s="52"/>
      <c r="G441" s="52"/>
      <c r="U441" s="53"/>
      <c r="V441" s="53"/>
      <c r="W441" s="53"/>
      <c r="X441" s="53"/>
      <c r="Y441" s="53"/>
      <c r="Z441" s="53"/>
      <c r="AA441" s="51"/>
      <c r="AB441" s="51"/>
      <c r="AC441" s="339"/>
      <c r="AD441" s="51"/>
      <c r="AE441" s="51"/>
      <c r="AF441" s="51"/>
      <c r="AG441" s="54"/>
      <c r="AH441" s="54"/>
      <c r="AI441" s="54"/>
      <c r="AJ441" s="54"/>
      <c r="AK441" s="54"/>
    </row>
    <row r="442" spans="1:37" s="41" customFormat="1" ht="12.75">
      <c r="A442" s="49"/>
      <c r="B442" s="50"/>
      <c r="C442" s="51"/>
      <c r="D442" s="52"/>
      <c r="E442" s="52"/>
      <c r="F442" s="52"/>
      <c r="G442" s="52"/>
      <c r="U442" s="53"/>
      <c r="V442" s="53"/>
      <c r="W442" s="53"/>
      <c r="X442" s="53"/>
      <c r="Y442" s="53"/>
      <c r="Z442" s="53"/>
      <c r="AA442" s="51"/>
      <c r="AB442" s="51"/>
      <c r="AC442" s="339"/>
      <c r="AD442" s="51"/>
      <c r="AE442" s="51"/>
      <c r="AF442" s="51"/>
      <c r="AG442" s="54"/>
      <c r="AH442" s="54"/>
      <c r="AI442" s="54"/>
      <c r="AJ442" s="54"/>
      <c r="AK442" s="54"/>
    </row>
    <row r="443" spans="1:37" s="41" customFormat="1" ht="12.75">
      <c r="A443" s="49"/>
      <c r="B443" s="50"/>
      <c r="C443" s="51"/>
      <c r="D443" s="52"/>
      <c r="E443" s="52"/>
      <c r="F443" s="52"/>
      <c r="G443" s="52"/>
      <c r="U443" s="53"/>
      <c r="V443" s="53"/>
      <c r="W443" s="53"/>
      <c r="X443" s="53"/>
      <c r="Y443" s="53"/>
      <c r="Z443" s="53"/>
      <c r="AA443" s="51"/>
      <c r="AB443" s="51"/>
      <c r="AC443" s="339"/>
      <c r="AD443" s="51"/>
      <c r="AE443" s="51"/>
      <c r="AF443" s="51"/>
      <c r="AG443" s="54"/>
      <c r="AH443" s="54"/>
      <c r="AI443" s="54"/>
      <c r="AJ443" s="54"/>
      <c r="AK443" s="54"/>
    </row>
    <row r="444" spans="1:37" s="41" customFormat="1" ht="12.75">
      <c r="A444" s="49"/>
      <c r="B444" s="50"/>
      <c r="C444" s="51"/>
      <c r="D444" s="52"/>
      <c r="E444" s="52"/>
      <c r="F444" s="52"/>
      <c r="G444" s="52"/>
      <c r="U444" s="53"/>
      <c r="V444" s="53"/>
      <c r="W444" s="53"/>
      <c r="X444" s="53"/>
      <c r="Y444" s="53"/>
      <c r="Z444" s="53"/>
      <c r="AA444" s="51"/>
      <c r="AB444" s="51"/>
      <c r="AC444" s="339"/>
      <c r="AD444" s="51"/>
      <c r="AE444" s="51"/>
      <c r="AF444" s="51"/>
      <c r="AG444" s="54"/>
      <c r="AH444" s="54"/>
      <c r="AI444" s="54"/>
      <c r="AJ444" s="54"/>
      <c r="AK444" s="54"/>
    </row>
    <row r="445" spans="1:37" s="41" customFormat="1" ht="12.75">
      <c r="A445" s="49"/>
      <c r="B445" s="50"/>
      <c r="C445" s="51"/>
      <c r="D445" s="52"/>
      <c r="E445" s="52"/>
      <c r="F445" s="52"/>
      <c r="G445" s="52"/>
      <c r="U445" s="53"/>
      <c r="V445" s="53"/>
      <c r="W445" s="53"/>
      <c r="X445" s="53"/>
      <c r="Y445" s="53"/>
      <c r="Z445" s="53"/>
      <c r="AA445" s="51"/>
      <c r="AB445" s="51"/>
      <c r="AC445" s="339"/>
      <c r="AD445" s="51"/>
      <c r="AE445" s="51"/>
      <c r="AF445" s="51"/>
      <c r="AG445" s="54"/>
      <c r="AH445" s="54"/>
      <c r="AI445" s="54"/>
      <c r="AJ445" s="54"/>
      <c r="AK445" s="54"/>
    </row>
    <row r="446" spans="1:37" s="41" customFormat="1" ht="12.75">
      <c r="A446" s="49"/>
      <c r="B446" s="50"/>
      <c r="C446" s="51"/>
      <c r="D446" s="52"/>
      <c r="E446" s="52"/>
      <c r="F446" s="52"/>
      <c r="G446" s="52"/>
      <c r="U446" s="53"/>
      <c r="V446" s="53"/>
      <c r="W446" s="53"/>
      <c r="X446" s="53"/>
      <c r="Y446" s="53"/>
      <c r="Z446" s="53"/>
      <c r="AA446" s="51"/>
      <c r="AB446" s="51"/>
      <c r="AC446" s="339"/>
      <c r="AD446" s="51"/>
      <c r="AE446" s="51"/>
      <c r="AF446" s="51"/>
      <c r="AG446" s="54"/>
      <c r="AH446" s="54"/>
      <c r="AI446" s="54"/>
      <c r="AJ446" s="54"/>
      <c r="AK446" s="54"/>
    </row>
    <row r="447" spans="1:37" s="41" customFormat="1" ht="12.75">
      <c r="A447" s="49"/>
      <c r="B447" s="50"/>
      <c r="C447" s="51"/>
      <c r="D447" s="52"/>
      <c r="E447" s="52"/>
      <c r="F447" s="52"/>
      <c r="G447" s="52"/>
      <c r="U447" s="53"/>
      <c r="V447" s="53"/>
      <c r="W447" s="53"/>
      <c r="X447" s="53"/>
      <c r="Y447" s="53"/>
      <c r="Z447" s="53"/>
      <c r="AA447" s="51"/>
      <c r="AB447" s="51"/>
      <c r="AC447" s="339"/>
      <c r="AD447" s="51"/>
      <c r="AE447" s="51"/>
      <c r="AF447" s="51"/>
      <c r="AG447" s="54"/>
      <c r="AH447" s="54"/>
      <c r="AI447" s="54"/>
      <c r="AJ447" s="54"/>
      <c r="AK447" s="54"/>
    </row>
    <row r="448" spans="1:37" s="41" customFormat="1" ht="12.75">
      <c r="A448" s="49"/>
      <c r="B448" s="50"/>
      <c r="C448" s="51"/>
      <c r="D448" s="52"/>
      <c r="E448" s="52"/>
      <c r="F448" s="52"/>
      <c r="G448" s="52"/>
      <c r="U448" s="53"/>
      <c r="V448" s="53"/>
      <c r="W448" s="53"/>
      <c r="X448" s="53"/>
      <c r="Y448" s="53"/>
      <c r="Z448" s="53"/>
      <c r="AA448" s="51"/>
      <c r="AB448" s="51"/>
      <c r="AC448" s="339"/>
      <c r="AD448" s="51"/>
      <c r="AE448" s="51"/>
      <c r="AF448" s="51"/>
      <c r="AG448" s="54"/>
      <c r="AH448" s="54"/>
      <c r="AI448" s="54"/>
      <c r="AJ448" s="54"/>
      <c r="AK448" s="54"/>
    </row>
    <row r="449" spans="1:37" s="41" customFormat="1" ht="12.75">
      <c r="A449" s="49"/>
      <c r="B449" s="50"/>
      <c r="C449" s="51"/>
      <c r="D449" s="52"/>
      <c r="E449" s="52"/>
      <c r="F449" s="52"/>
      <c r="G449" s="52"/>
      <c r="U449" s="53"/>
      <c r="V449" s="53"/>
      <c r="W449" s="53"/>
      <c r="X449" s="53"/>
      <c r="Y449" s="53"/>
      <c r="Z449" s="53"/>
      <c r="AA449" s="51"/>
      <c r="AB449" s="51"/>
      <c r="AC449" s="339"/>
      <c r="AD449" s="51"/>
      <c r="AE449" s="51"/>
      <c r="AF449" s="51"/>
      <c r="AG449" s="54"/>
      <c r="AH449" s="54"/>
      <c r="AI449" s="54"/>
      <c r="AJ449" s="54"/>
      <c r="AK449" s="54"/>
    </row>
    <row r="450" spans="1:37" s="41" customFormat="1" ht="12.75">
      <c r="A450" s="49"/>
      <c r="B450" s="50"/>
      <c r="C450" s="51"/>
      <c r="D450" s="52"/>
      <c r="E450" s="52"/>
      <c r="F450" s="52"/>
      <c r="G450" s="52"/>
      <c r="U450" s="53"/>
      <c r="V450" s="53"/>
      <c r="W450" s="53"/>
      <c r="X450" s="53"/>
      <c r="Y450" s="53"/>
      <c r="Z450" s="53"/>
      <c r="AA450" s="51"/>
      <c r="AB450" s="51"/>
      <c r="AC450" s="339"/>
      <c r="AD450" s="51"/>
      <c r="AE450" s="51"/>
      <c r="AF450" s="51"/>
      <c r="AG450" s="54"/>
      <c r="AH450" s="54"/>
      <c r="AI450" s="54"/>
      <c r="AJ450" s="54"/>
      <c r="AK450" s="54"/>
    </row>
    <row r="451" spans="1:37" s="41" customFormat="1" ht="12.75">
      <c r="A451" s="49"/>
      <c r="B451" s="50"/>
      <c r="C451" s="51"/>
      <c r="D451" s="52"/>
      <c r="E451" s="52"/>
      <c r="F451" s="52"/>
      <c r="G451" s="52"/>
      <c r="U451" s="53"/>
      <c r="V451" s="53"/>
      <c r="W451" s="53"/>
      <c r="X451" s="53"/>
      <c r="Y451" s="53"/>
      <c r="Z451" s="53"/>
      <c r="AA451" s="51"/>
      <c r="AB451" s="51"/>
      <c r="AC451" s="339"/>
      <c r="AD451" s="51"/>
      <c r="AE451" s="51"/>
      <c r="AF451" s="51"/>
      <c r="AG451" s="54"/>
      <c r="AH451" s="54"/>
      <c r="AI451" s="54"/>
      <c r="AJ451" s="54"/>
      <c r="AK451" s="54"/>
    </row>
    <row r="452" spans="1:37" s="41" customFormat="1" ht="12.75">
      <c r="A452" s="49"/>
      <c r="B452" s="50"/>
      <c r="C452" s="51"/>
      <c r="D452" s="52"/>
      <c r="E452" s="52"/>
      <c r="F452" s="52"/>
      <c r="G452" s="52"/>
      <c r="U452" s="53"/>
      <c r="V452" s="53"/>
      <c r="W452" s="53"/>
      <c r="X452" s="53"/>
      <c r="Y452" s="53"/>
      <c r="Z452" s="53"/>
      <c r="AA452" s="51"/>
      <c r="AB452" s="51"/>
      <c r="AC452" s="339"/>
      <c r="AD452" s="51"/>
      <c r="AE452" s="51"/>
      <c r="AF452" s="51"/>
      <c r="AG452" s="54"/>
      <c r="AH452" s="54"/>
      <c r="AI452" s="54"/>
      <c r="AJ452" s="54"/>
      <c r="AK452" s="54"/>
    </row>
    <row r="453" spans="1:37" s="41" customFormat="1" ht="12.75">
      <c r="A453" s="49"/>
      <c r="B453" s="50"/>
      <c r="C453" s="51"/>
      <c r="D453" s="52"/>
      <c r="E453" s="52"/>
      <c r="F453" s="52"/>
      <c r="G453" s="52"/>
      <c r="U453" s="53"/>
      <c r="V453" s="53"/>
      <c r="W453" s="53"/>
      <c r="X453" s="53"/>
      <c r="Y453" s="53"/>
      <c r="Z453" s="53"/>
      <c r="AA453" s="51"/>
      <c r="AB453" s="51"/>
      <c r="AC453" s="339"/>
      <c r="AD453" s="51"/>
      <c r="AE453" s="51"/>
      <c r="AF453" s="51"/>
      <c r="AG453" s="54"/>
      <c r="AH453" s="54"/>
      <c r="AI453" s="54"/>
      <c r="AJ453" s="54"/>
      <c r="AK453" s="54"/>
    </row>
    <row r="454" spans="1:37" s="41" customFormat="1" ht="12.75">
      <c r="A454" s="49"/>
      <c r="B454" s="50"/>
      <c r="C454" s="51"/>
      <c r="D454" s="52"/>
      <c r="E454" s="52"/>
      <c r="F454" s="52"/>
      <c r="G454" s="52"/>
      <c r="U454" s="53"/>
      <c r="V454" s="53"/>
      <c r="W454" s="53"/>
      <c r="X454" s="53"/>
      <c r="Y454" s="53"/>
      <c r="Z454" s="53"/>
      <c r="AA454" s="51"/>
      <c r="AB454" s="51"/>
      <c r="AC454" s="339"/>
      <c r="AD454" s="51"/>
      <c r="AE454" s="51"/>
      <c r="AF454" s="51"/>
      <c r="AG454" s="54"/>
      <c r="AH454" s="54"/>
      <c r="AI454" s="54"/>
      <c r="AJ454" s="54"/>
      <c r="AK454" s="54"/>
    </row>
    <row r="455" spans="1:37" s="41" customFormat="1" ht="12.75">
      <c r="A455" s="49"/>
      <c r="B455" s="50"/>
      <c r="C455" s="51"/>
      <c r="D455" s="52"/>
      <c r="E455" s="52"/>
      <c r="F455" s="52"/>
      <c r="G455" s="52"/>
      <c r="U455" s="53"/>
      <c r="V455" s="53"/>
      <c r="W455" s="53"/>
      <c r="X455" s="53"/>
      <c r="Y455" s="53"/>
      <c r="Z455" s="53"/>
      <c r="AA455" s="51"/>
      <c r="AB455" s="51"/>
      <c r="AC455" s="339"/>
      <c r="AD455" s="51"/>
      <c r="AE455" s="51"/>
      <c r="AF455" s="51"/>
      <c r="AG455" s="54"/>
      <c r="AH455" s="54"/>
      <c r="AI455" s="54"/>
      <c r="AJ455" s="54"/>
      <c r="AK455" s="54"/>
    </row>
    <row r="456" spans="1:37" s="41" customFormat="1" ht="12.75">
      <c r="A456" s="49"/>
      <c r="B456" s="50"/>
      <c r="C456" s="51"/>
      <c r="D456" s="52"/>
      <c r="E456" s="52"/>
      <c r="F456" s="52"/>
      <c r="G456" s="52"/>
      <c r="U456" s="53"/>
      <c r="V456" s="53"/>
      <c r="W456" s="53"/>
      <c r="X456" s="53"/>
      <c r="Y456" s="53"/>
      <c r="Z456" s="53"/>
      <c r="AA456" s="51"/>
      <c r="AB456" s="51"/>
      <c r="AC456" s="339"/>
      <c r="AD456" s="51"/>
      <c r="AE456" s="51"/>
      <c r="AF456" s="51"/>
      <c r="AG456" s="54"/>
      <c r="AH456" s="54"/>
      <c r="AI456" s="54"/>
      <c r="AJ456" s="54"/>
      <c r="AK456" s="54"/>
    </row>
    <row r="457" spans="1:37" s="41" customFormat="1" ht="12.75">
      <c r="A457" s="49"/>
      <c r="B457" s="50"/>
      <c r="C457" s="51"/>
      <c r="D457" s="52"/>
      <c r="E457" s="52"/>
      <c r="F457" s="52"/>
      <c r="G457" s="52"/>
      <c r="U457" s="53"/>
      <c r="V457" s="53"/>
      <c r="W457" s="53"/>
      <c r="X457" s="53"/>
      <c r="Y457" s="53"/>
      <c r="Z457" s="53"/>
      <c r="AA457" s="51"/>
      <c r="AB457" s="51"/>
      <c r="AC457" s="339"/>
      <c r="AD457" s="51"/>
      <c r="AE457" s="51"/>
      <c r="AF457" s="51"/>
      <c r="AG457" s="54"/>
      <c r="AH457" s="54"/>
      <c r="AI457" s="54"/>
      <c r="AJ457" s="54"/>
      <c r="AK457" s="54"/>
    </row>
    <row r="458" spans="1:37" s="41" customFormat="1" ht="12.75">
      <c r="A458" s="49"/>
      <c r="B458" s="50"/>
      <c r="C458" s="51"/>
      <c r="D458" s="52"/>
      <c r="E458" s="52"/>
      <c r="F458" s="52"/>
      <c r="G458" s="52"/>
      <c r="U458" s="53"/>
      <c r="V458" s="53"/>
      <c r="W458" s="53"/>
      <c r="X458" s="53"/>
      <c r="Y458" s="53"/>
      <c r="Z458" s="53"/>
      <c r="AA458" s="51"/>
      <c r="AB458" s="51"/>
      <c r="AC458" s="339"/>
      <c r="AD458" s="51"/>
      <c r="AE458" s="51"/>
      <c r="AF458" s="51"/>
      <c r="AG458" s="54"/>
      <c r="AH458" s="54"/>
      <c r="AI458" s="54"/>
      <c r="AJ458" s="54"/>
      <c r="AK458" s="54"/>
    </row>
    <row r="459" spans="1:37" s="41" customFormat="1" ht="12.75">
      <c r="A459" s="49"/>
      <c r="B459" s="50"/>
      <c r="C459" s="51"/>
      <c r="D459" s="52"/>
      <c r="E459" s="52"/>
      <c r="F459" s="52"/>
      <c r="G459" s="52"/>
      <c r="U459" s="53"/>
      <c r="V459" s="53"/>
      <c r="W459" s="53"/>
      <c r="X459" s="53"/>
      <c r="Y459" s="53"/>
      <c r="Z459" s="53"/>
      <c r="AA459" s="51"/>
      <c r="AB459" s="51"/>
      <c r="AC459" s="339"/>
      <c r="AD459" s="51"/>
      <c r="AE459" s="51"/>
      <c r="AF459" s="51"/>
      <c r="AG459" s="54"/>
      <c r="AH459" s="54"/>
      <c r="AI459" s="54"/>
      <c r="AJ459" s="54"/>
      <c r="AK459" s="54"/>
    </row>
    <row r="460" spans="1:37" s="41" customFormat="1" ht="12.75">
      <c r="A460" s="49"/>
      <c r="B460" s="50"/>
      <c r="C460" s="51"/>
      <c r="D460" s="52"/>
      <c r="E460" s="52"/>
      <c r="F460" s="52"/>
      <c r="G460" s="52"/>
      <c r="U460" s="53"/>
      <c r="V460" s="53"/>
      <c r="W460" s="53"/>
      <c r="X460" s="53"/>
      <c r="Y460" s="53"/>
      <c r="Z460" s="53"/>
      <c r="AA460" s="51"/>
      <c r="AB460" s="51"/>
      <c r="AC460" s="339"/>
      <c r="AD460" s="51"/>
      <c r="AE460" s="51"/>
      <c r="AF460" s="51"/>
      <c r="AG460" s="54"/>
      <c r="AH460" s="54"/>
      <c r="AI460" s="54"/>
      <c r="AJ460" s="54"/>
      <c r="AK460" s="54"/>
    </row>
    <row r="461" spans="1:37" s="41" customFormat="1" ht="12.75">
      <c r="A461" s="49"/>
      <c r="B461" s="50"/>
      <c r="C461" s="51"/>
      <c r="D461" s="52"/>
      <c r="E461" s="52"/>
      <c r="F461" s="52"/>
      <c r="G461" s="52"/>
      <c r="U461" s="53"/>
      <c r="V461" s="53"/>
      <c r="W461" s="53"/>
      <c r="X461" s="53"/>
      <c r="Y461" s="53"/>
      <c r="Z461" s="53"/>
      <c r="AA461" s="51"/>
      <c r="AB461" s="51"/>
      <c r="AC461" s="339"/>
      <c r="AD461" s="51"/>
      <c r="AE461" s="51"/>
      <c r="AF461" s="51"/>
      <c r="AG461" s="54"/>
      <c r="AH461" s="54"/>
      <c r="AI461" s="54"/>
      <c r="AJ461" s="54"/>
      <c r="AK461" s="54"/>
    </row>
    <row r="462" spans="1:37" s="41" customFormat="1" ht="12.75">
      <c r="A462" s="49"/>
      <c r="B462" s="50"/>
      <c r="C462" s="51"/>
      <c r="D462" s="52"/>
      <c r="E462" s="52"/>
      <c r="F462" s="52"/>
      <c r="G462" s="52"/>
      <c r="U462" s="53"/>
      <c r="V462" s="53"/>
      <c r="W462" s="53"/>
      <c r="X462" s="53"/>
      <c r="Y462" s="53"/>
      <c r="Z462" s="53"/>
      <c r="AA462" s="51"/>
      <c r="AB462" s="51"/>
      <c r="AC462" s="339"/>
      <c r="AD462" s="51"/>
      <c r="AE462" s="51"/>
      <c r="AF462" s="51"/>
      <c r="AG462" s="54"/>
      <c r="AH462" s="54"/>
      <c r="AI462" s="54"/>
      <c r="AJ462" s="54"/>
      <c r="AK462" s="54"/>
    </row>
    <row r="463" spans="1:37" s="41" customFormat="1" ht="12.75">
      <c r="A463" s="49"/>
      <c r="B463" s="50"/>
      <c r="C463" s="51"/>
      <c r="D463" s="52"/>
      <c r="E463" s="52"/>
      <c r="F463" s="52"/>
      <c r="G463" s="52"/>
      <c r="U463" s="53"/>
      <c r="V463" s="53"/>
      <c r="W463" s="53"/>
      <c r="X463" s="53"/>
      <c r="Y463" s="53"/>
      <c r="Z463" s="53"/>
      <c r="AA463" s="51"/>
      <c r="AB463" s="51"/>
      <c r="AC463" s="339"/>
      <c r="AD463" s="51"/>
      <c r="AE463" s="51"/>
      <c r="AF463" s="51"/>
      <c r="AG463" s="54"/>
      <c r="AH463" s="54"/>
      <c r="AI463" s="54"/>
      <c r="AJ463" s="54"/>
      <c r="AK463" s="54"/>
    </row>
    <row r="464" spans="1:37" s="41" customFormat="1" ht="12.75">
      <c r="A464" s="49"/>
      <c r="B464" s="50"/>
      <c r="C464" s="51"/>
      <c r="D464" s="52"/>
      <c r="E464" s="52"/>
      <c r="F464" s="52"/>
      <c r="G464" s="52"/>
      <c r="U464" s="53"/>
      <c r="V464" s="53"/>
      <c r="W464" s="53"/>
      <c r="X464" s="53"/>
      <c r="Y464" s="53"/>
      <c r="Z464" s="53"/>
      <c r="AA464" s="51"/>
      <c r="AB464" s="51"/>
      <c r="AC464" s="339"/>
      <c r="AD464" s="51"/>
      <c r="AE464" s="51"/>
      <c r="AF464" s="51"/>
      <c r="AG464" s="54"/>
      <c r="AH464" s="54"/>
      <c r="AI464" s="54"/>
      <c r="AJ464" s="54"/>
      <c r="AK464" s="54"/>
    </row>
    <row r="465" spans="1:37" s="41" customFormat="1" ht="12.75">
      <c r="A465" s="49"/>
      <c r="B465" s="50"/>
      <c r="C465" s="51"/>
      <c r="D465" s="52"/>
      <c r="E465" s="52"/>
      <c r="F465" s="52"/>
      <c r="G465" s="52"/>
      <c r="U465" s="53"/>
      <c r="V465" s="53"/>
      <c r="W465" s="53"/>
      <c r="X465" s="53"/>
      <c r="Y465" s="53"/>
      <c r="Z465" s="53"/>
      <c r="AA465" s="51"/>
      <c r="AB465" s="51"/>
      <c r="AC465" s="339"/>
      <c r="AD465" s="51"/>
      <c r="AE465" s="51"/>
      <c r="AF465" s="51"/>
      <c r="AG465" s="54"/>
      <c r="AH465" s="54"/>
      <c r="AI465" s="54"/>
      <c r="AJ465" s="54"/>
      <c r="AK465" s="54"/>
    </row>
    <row r="466" spans="1:37" s="41" customFormat="1" ht="12.75">
      <c r="A466" s="49"/>
      <c r="B466" s="50"/>
      <c r="C466" s="51"/>
      <c r="D466" s="52"/>
      <c r="E466" s="52"/>
      <c r="F466" s="52"/>
      <c r="G466" s="52"/>
      <c r="U466" s="53"/>
      <c r="V466" s="53"/>
      <c r="W466" s="53"/>
      <c r="X466" s="53"/>
      <c r="Y466" s="53"/>
      <c r="Z466" s="53"/>
      <c r="AA466" s="51"/>
      <c r="AB466" s="51"/>
      <c r="AC466" s="339"/>
      <c r="AD466" s="51"/>
      <c r="AE466" s="51"/>
      <c r="AF466" s="51"/>
      <c r="AG466" s="54"/>
      <c r="AH466" s="54"/>
      <c r="AI466" s="54"/>
      <c r="AJ466" s="54"/>
      <c r="AK466" s="54"/>
    </row>
    <row r="467" spans="1:37" s="41" customFormat="1" ht="12.75">
      <c r="A467" s="49"/>
      <c r="B467" s="50"/>
      <c r="C467" s="51"/>
      <c r="D467" s="52"/>
      <c r="E467" s="52"/>
      <c r="F467" s="52"/>
      <c r="G467" s="52"/>
      <c r="U467" s="53"/>
      <c r="V467" s="53"/>
      <c r="W467" s="53"/>
      <c r="X467" s="53"/>
      <c r="Y467" s="53"/>
      <c r="Z467" s="53"/>
      <c r="AA467" s="51"/>
      <c r="AB467" s="51"/>
      <c r="AC467" s="339"/>
      <c r="AD467" s="51"/>
      <c r="AE467" s="51"/>
      <c r="AF467" s="51"/>
      <c r="AG467" s="54"/>
      <c r="AH467" s="54"/>
      <c r="AI467" s="54"/>
      <c r="AJ467" s="54"/>
      <c r="AK467" s="54"/>
    </row>
    <row r="468" spans="1:37" s="41" customFormat="1" ht="12.75">
      <c r="A468" s="49"/>
      <c r="B468" s="50"/>
      <c r="C468" s="51"/>
      <c r="D468" s="52"/>
      <c r="E468" s="52"/>
      <c r="F468" s="52"/>
      <c r="G468" s="52"/>
      <c r="U468" s="53"/>
      <c r="V468" s="53"/>
      <c r="W468" s="53"/>
      <c r="X468" s="53"/>
      <c r="Y468" s="53"/>
      <c r="Z468" s="53"/>
      <c r="AA468" s="51"/>
      <c r="AB468" s="51"/>
      <c r="AC468" s="339"/>
      <c r="AD468" s="51"/>
      <c r="AE468" s="51"/>
      <c r="AF468" s="51"/>
      <c r="AG468" s="54"/>
      <c r="AH468" s="54"/>
      <c r="AI468" s="54"/>
      <c r="AJ468" s="54"/>
      <c r="AK468" s="54"/>
    </row>
    <row r="469" spans="1:37" s="41" customFormat="1" ht="12.75">
      <c r="A469" s="49"/>
      <c r="B469" s="50"/>
      <c r="C469" s="51"/>
      <c r="D469" s="52"/>
      <c r="E469" s="52"/>
      <c r="F469" s="52"/>
      <c r="G469" s="52"/>
      <c r="U469" s="53"/>
      <c r="V469" s="53"/>
      <c r="W469" s="53"/>
      <c r="X469" s="53"/>
      <c r="Y469" s="53"/>
      <c r="Z469" s="53"/>
      <c r="AA469" s="51"/>
      <c r="AB469" s="51"/>
      <c r="AC469" s="339"/>
      <c r="AD469" s="51"/>
      <c r="AE469" s="51"/>
      <c r="AF469" s="51"/>
      <c r="AG469" s="54"/>
      <c r="AH469" s="54"/>
      <c r="AI469" s="54"/>
      <c r="AJ469" s="54"/>
      <c r="AK469" s="54"/>
    </row>
    <row r="470" spans="1:37" s="41" customFormat="1" ht="12.75">
      <c r="A470" s="49"/>
      <c r="B470" s="50"/>
      <c r="C470" s="51"/>
      <c r="D470" s="52"/>
      <c r="E470" s="52"/>
      <c r="F470" s="52"/>
      <c r="G470" s="52"/>
      <c r="U470" s="53"/>
      <c r="V470" s="53"/>
      <c r="W470" s="53"/>
      <c r="X470" s="53"/>
      <c r="Y470" s="53"/>
      <c r="Z470" s="53"/>
      <c r="AA470" s="51"/>
      <c r="AB470" s="51"/>
      <c r="AC470" s="339"/>
      <c r="AD470" s="51"/>
      <c r="AE470" s="51"/>
      <c r="AF470" s="51"/>
      <c r="AG470" s="54"/>
      <c r="AH470" s="54"/>
      <c r="AI470" s="54"/>
      <c r="AJ470" s="54"/>
      <c r="AK470" s="54"/>
    </row>
    <row r="471" spans="3:26" ht="12.75">
      <c r="C471" s="56"/>
      <c r="D471" s="57"/>
      <c r="E471" s="57"/>
      <c r="F471" s="57"/>
      <c r="G471" s="57"/>
      <c r="J471" s="48"/>
      <c r="S471" s="48"/>
      <c r="T471" s="48"/>
      <c r="U471" s="53"/>
      <c r="W471" s="53"/>
      <c r="X471" s="53"/>
      <c r="Y471" s="53"/>
      <c r="Z471" s="53"/>
    </row>
    <row r="472" spans="3:26" ht="12.75">
      <c r="C472" s="56"/>
      <c r="D472" s="57"/>
      <c r="E472" s="57"/>
      <c r="F472" s="57"/>
      <c r="G472" s="57"/>
      <c r="J472" s="48"/>
      <c r="S472" s="48"/>
      <c r="T472" s="48"/>
      <c r="U472" s="53"/>
      <c r="W472" s="53"/>
      <c r="X472" s="53"/>
      <c r="Y472" s="53"/>
      <c r="Z472" s="53"/>
    </row>
    <row r="473" spans="3:26" ht="12.75">
      <c r="C473" s="56"/>
      <c r="D473" s="57"/>
      <c r="E473" s="57"/>
      <c r="F473" s="57"/>
      <c r="G473" s="57"/>
      <c r="J473" s="48"/>
      <c r="S473" s="48"/>
      <c r="T473" s="48"/>
      <c r="U473" s="53"/>
      <c r="W473" s="53"/>
      <c r="X473" s="53"/>
      <c r="Y473" s="53"/>
      <c r="Z473" s="53"/>
    </row>
    <row r="474" spans="3:26" ht="12.75">
      <c r="C474" s="56"/>
      <c r="D474" s="57"/>
      <c r="E474" s="57"/>
      <c r="F474" s="57"/>
      <c r="G474" s="57"/>
      <c r="J474" s="48"/>
      <c r="S474" s="48"/>
      <c r="T474" s="48"/>
      <c r="U474" s="53"/>
      <c r="W474" s="53"/>
      <c r="X474" s="53"/>
      <c r="Y474" s="53"/>
      <c r="Z474" s="53"/>
    </row>
    <row r="475" spans="3:26" ht="12.75">
      <c r="C475" s="56"/>
      <c r="D475" s="57"/>
      <c r="E475" s="57"/>
      <c r="F475" s="57"/>
      <c r="G475" s="57"/>
      <c r="J475" s="48"/>
      <c r="S475" s="48"/>
      <c r="T475" s="48"/>
      <c r="U475" s="53"/>
      <c r="W475" s="53"/>
      <c r="X475" s="53"/>
      <c r="Y475" s="53"/>
      <c r="Z475" s="53"/>
    </row>
    <row r="476" spans="3:26" ht="12.75">
      <c r="C476" s="56"/>
      <c r="D476" s="57"/>
      <c r="E476" s="57"/>
      <c r="F476" s="57"/>
      <c r="G476" s="57"/>
      <c r="J476" s="48"/>
      <c r="S476" s="48"/>
      <c r="T476" s="48"/>
      <c r="U476" s="53"/>
      <c r="W476" s="53"/>
      <c r="X476" s="53"/>
      <c r="Y476" s="53"/>
      <c r="Z476" s="53"/>
    </row>
    <row r="477" spans="3:26" ht="12.75">
      <c r="C477" s="56"/>
      <c r="D477" s="57"/>
      <c r="E477" s="57"/>
      <c r="F477" s="57"/>
      <c r="G477" s="57"/>
      <c r="J477" s="48"/>
      <c r="S477" s="48"/>
      <c r="T477" s="48"/>
      <c r="U477" s="53"/>
      <c r="W477" s="53"/>
      <c r="X477" s="53"/>
      <c r="Y477" s="53"/>
      <c r="Z477" s="53"/>
    </row>
    <row r="478" spans="3:26" ht="12.75">
      <c r="C478" s="56"/>
      <c r="D478" s="57"/>
      <c r="E478" s="57"/>
      <c r="F478" s="57"/>
      <c r="G478" s="57"/>
      <c r="J478" s="48"/>
      <c r="S478" s="48"/>
      <c r="T478" s="48"/>
      <c r="U478" s="53"/>
      <c r="W478" s="53"/>
      <c r="X478" s="53"/>
      <c r="Y478" s="53"/>
      <c r="Z478" s="53"/>
    </row>
    <row r="479" spans="3:26" ht="12.75">
      <c r="C479" s="56"/>
      <c r="D479" s="57"/>
      <c r="E479" s="57"/>
      <c r="F479" s="57"/>
      <c r="G479" s="57"/>
      <c r="J479" s="48"/>
      <c r="S479" s="48"/>
      <c r="T479" s="48"/>
      <c r="U479" s="53"/>
      <c r="W479" s="53"/>
      <c r="X479" s="53"/>
      <c r="Y479" s="53"/>
      <c r="Z479" s="53"/>
    </row>
    <row r="480" spans="3:26" ht="12.75">
      <c r="C480" s="56"/>
      <c r="D480" s="57"/>
      <c r="E480" s="57"/>
      <c r="F480" s="57"/>
      <c r="G480" s="57"/>
      <c r="J480" s="48"/>
      <c r="S480" s="48"/>
      <c r="T480" s="48"/>
      <c r="U480" s="53"/>
      <c r="W480" s="53"/>
      <c r="X480" s="53"/>
      <c r="Y480" s="53"/>
      <c r="Z480" s="53"/>
    </row>
    <row r="481" spans="3:26" ht="12.75">
      <c r="C481" s="56"/>
      <c r="D481" s="57"/>
      <c r="E481" s="57"/>
      <c r="F481" s="57"/>
      <c r="G481" s="57"/>
      <c r="J481" s="48"/>
      <c r="S481" s="48"/>
      <c r="T481" s="48"/>
      <c r="U481" s="53"/>
      <c r="W481" s="53"/>
      <c r="X481" s="53"/>
      <c r="Y481" s="53"/>
      <c r="Z481" s="53"/>
    </row>
    <row r="482" spans="3:26" ht="12.75">
      <c r="C482" s="56"/>
      <c r="D482" s="57"/>
      <c r="E482" s="57"/>
      <c r="F482" s="57"/>
      <c r="G482" s="57"/>
      <c r="J482" s="48"/>
      <c r="S482" s="48"/>
      <c r="T482" s="48"/>
      <c r="U482" s="53"/>
      <c r="W482" s="53"/>
      <c r="X482" s="53"/>
      <c r="Y482" s="53"/>
      <c r="Z482" s="53"/>
    </row>
    <row r="483" spans="3:26" ht="12.75">
      <c r="C483" s="56"/>
      <c r="D483" s="57"/>
      <c r="E483" s="57"/>
      <c r="F483" s="57"/>
      <c r="G483" s="57"/>
      <c r="J483" s="48"/>
      <c r="S483" s="48"/>
      <c r="T483" s="48"/>
      <c r="U483" s="53"/>
      <c r="W483" s="53"/>
      <c r="X483" s="53"/>
      <c r="Y483" s="53"/>
      <c r="Z483" s="53"/>
    </row>
    <row r="484" spans="3:26" ht="12.75">
      <c r="C484" s="56"/>
      <c r="D484" s="57"/>
      <c r="E484" s="57"/>
      <c r="F484" s="57"/>
      <c r="G484" s="57"/>
      <c r="J484" s="48"/>
      <c r="S484" s="48"/>
      <c r="T484" s="48"/>
      <c r="U484" s="53"/>
      <c r="W484" s="53"/>
      <c r="X484" s="53"/>
      <c r="Y484" s="53"/>
      <c r="Z484" s="53"/>
    </row>
    <row r="485" spans="3:26" ht="12.75">
      <c r="C485" s="56"/>
      <c r="D485" s="57"/>
      <c r="E485" s="57"/>
      <c r="F485" s="57"/>
      <c r="G485" s="57"/>
      <c r="J485" s="48"/>
      <c r="S485" s="48"/>
      <c r="T485" s="48"/>
      <c r="U485" s="53"/>
      <c r="W485" s="53"/>
      <c r="X485" s="53"/>
      <c r="Y485" s="53"/>
      <c r="Z485" s="53"/>
    </row>
    <row r="486" spans="3:26" ht="12.75">
      <c r="C486" s="56"/>
      <c r="D486" s="57"/>
      <c r="E486" s="57"/>
      <c r="F486" s="57"/>
      <c r="G486" s="57"/>
      <c r="J486" s="48"/>
      <c r="S486" s="48"/>
      <c r="T486" s="48"/>
      <c r="U486" s="53"/>
      <c r="W486" s="53"/>
      <c r="X486" s="53"/>
      <c r="Y486" s="53"/>
      <c r="Z486" s="53"/>
    </row>
    <row r="487" spans="3:26" ht="12.75">
      <c r="C487" s="56"/>
      <c r="D487" s="57"/>
      <c r="E487" s="57"/>
      <c r="F487" s="57"/>
      <c r="G487" s="57"/>
      <c r="J487" s="48"/>
      <c r="S487" s="48"/>
      <c r="T487" s="48"/>
      <c r="U487" s="53"/>
      <c r="W487" s="53"/>
      <c r="X487" s="53"/>
      <c r="Y487" s="53"/>
      <c r="Z487" s="53"/>
    </row>
    <row r="488" spans="3:26" ht="12.75">
      <c r="C488" s="56"/>
      <c r="D488" s="57"/>
      <c r="E488" s="57"/>
      <c r="F488" s="57"/>
      <c r="G488" s="57"/>
      <c r="J488" s="48"/>
      <c r="S488" s="48"/>
      <c r="T488" s="48"/>
      <c r="U488" s="53"/>
      <c r="W488" s="53"/>
      <c r="X488" s="53"/>
      <c r="Y488" s="53"/>
      <c r="Z488" s="53"/>
    </row>
    <row r="489" spans="3:26" ht="12.75">
      <c r="C489" s="56"/>
      <c r="D489" s="57"/>
      <c r="E489" s="57"/>
      <c r="F489" s="57"/>
      <c r="G489" s="57"/>
      <c r="J489" s="48"/>
      <c r="S489" s="48"/>
      <c r="T489" s="48"/>
      <c r="U489" s="53"/>
      <c r="W489" s="53"/>
      <c r="X489" s="53"/>
      <c r="Y489" s="53"/>
      <c r="Z489" s="53"/>
    </row>
    <row r="490" spans="3:26" ht="12.75">
      <c r="C490" s="56"/>
      <c r="D490" s="57"/>
      <c r="E490" s="57"/>
      <c r="F490" s="57"/>
      <c r="G490" s="57"/>
      <c r="J490" s="48"/>
      <c r="S490" s="48"/>
      <c r="T490" s="48"/>
      <c r="U490" s="53"/>
      <c r="W490" s="53"/>
      <c r="X490" s="53"/>
      <c r="Y490" s="53"/>
      <c r="Z490" s="53"/>
    </row>
    <row r="491" spans="3:26" ht="12.75">
      <c r="C491" s="56"/>
      <c r="D491" s="57"/>
      <c r="E491" s="57"/>
      <c r="F491" s="57"/>
      <c r="G491" s="57"/>
      <c r="J491" s="48"/>
      <c r="S491" s="48"/>
      <c r="T491" s="48"/>
      <c r="U491" s="53"/>
      <c r="W491" s="53"/>
      <c r="X491" s="53"/>
      <c r="Y491" s="53"/>
      <c r="Z491" s="53"/>
    </row>
    <row r="492" spans="3:26" ht="12.75">
      <c r="C492" s="56"/>
      <c r="D492" s="57"/>
      <c r="E492" s="57"/>
      <c r="F492" s="57"/>
      <c r="G492" s="57"/>
      <c r="J492" s="48"/>
      <c r="S492" s="48"/>
      <c r="T492" s="48"/>
      <c r="U492" s="53"/>
      <c r="W492" s="53"/>
      <c r="X492" s="53"/>
      <c r="Y492" s="53"/>
      <c r="Z492" s="53"/>
    </row>
    <row r="493" spans="3:26" ht="12.75">
      <c r="C493" s="56"/>
      <c r="D493" s="57"/>
      <c r="E493" s="57"/>
      <c r="F493" s="57"/>
      <c r="G493" s="57"/>
      <c r="J493" s="48"/>
      <c r="S493" s="48"/>
      <c r="T493" s="48"/>
      <c r="U493" s="53"/>
      <c r="W493" s="53"/>
      <c r="X493" s="53"/>
      <c r="Y493" s="53"/>
      <c r="Z493" s="53"/>
    </row>
    <row r="494" spans="3:26" ht="12.75">
      <c r="C494" s="56"/>
      <c r="D494" s="57"/>
      <c r="E494" s="57"/>
      <c r="F494" s="57"/>
      <c r="G494" s="57"/>
      <c r="J494" s="48"/>
      <c r="S494" s="48"/>
      <c r="T494" s="48"/>
      <c r="U494" s="53"/>
      <c r="W494" s="53"/>
      <c r="X494" s="53"/>
      <c r="Y494" s="53"/>
      <c r="Z494" s="53"/>
    </row>
    <row r="495" spans="3:26" ht="12.75">
      <c r="C495" s="56"/>
      <c r="D495" s="57"/>
      <c r="E495" s="57"/>
      <c r="F495" s="57"/>
      <c r="G495" s="57"/>
      <c r="J495" s="48"/>
      <c r="S495" s="48"/>
      <c r="T495" s="48"/>
      <c r="U495" s="53"/>
      <c r="W495" s="53"/>
      <c r="X495" s="53"/>
      <c r="Y495" s="53"/>
      <c r="Z495" s="53"/>
    </row>
    <row r="496" spans="3:26" ht="12.75">
      <c r="C496" s="56"/>
      <c r="D496" s="57"/>
      <c r="E496" s="57"/>
      <c r="F496" s="57"/>
      <c r="G496" s="57"/>
      <c r="J496" s="48"/>
      <c r="S496" s="48"/>
      <c r="T496" s="48"/>
      <c r="U496" s="53"/>
      <c r="W496" s="53"/>
      <c r="X496" s="53"/>
      <c r="Y496" s="53"/>
      <c r="Z496" s="53"/>
    </row>
    <row r="497" spans="3:26" ht="12.75">
      <c r="C497" s="56"/>
      <c r="D497" s="57"/>
      <c r="E497" s="57"/>
      <c r="F497" s="57"/>
      <c r="G497" s="57"/>
      <c r="J497" s="48"/>
      <c r="S497" s="48"/>
      <c r="T497" s="48"/>
      <c r="U497" s="53"/>
      <c r="W497" s="53"/>
      <c r="X497" s="53"/>
      <c r="Y497" s="53"/>
      <c r="Z497" s="53"/>
    </row>
    <row r="498" spans="1:26" ht="12.75">
      <c r="A498" s="16"/>
      <c r="C498" s="56"/>
      <c r="D498" s="57"/>
      <c r="E498" s="57"/>
      <c r="F498" s="57"/>
      <c r="G498" s="57"/>
      <c r="J498" s="48"/>
      <c r="S498" s="48"/>
      <c r="T498" s="48"/>
      <c r="U498" s="53"/>
      <c r="W498" s="53"/>
      <c r="X498" s="53"/>
      <c r="Y498" s="53"/>
      <c r="Z498" s="53"/>
    </row>
    <row r="499" spans="1:26" ht="12.75">
      <c r="A499" s="16"/>
      <c r="C499" s="56"/>
      <c r="D499" s="57"/>
      <c r="E499" s="57"/>
      <c r="F499" s="57"/>
      <c r="G499" s="57"/>
      <c r="J499" s="48"/>
      <c r="S499" s="48"/>
      <c r="T499" s="48"/>
      <c r="U499" s="53"/>
      <c r="W499" s="53"/>
      <c r="X499" s="53"/>
      <c r="Y499" s="53"/>
      <c r="Z499" s="53"/>
    </row>
    <row r="500" spans="1:26" ht="12.75">
      <c r="A500" s="16"/>
      <c r="C500" s="56"/>
      <c r="D500" s="57"/>
      <c r="E500" s="57"/>
      <c r="F500" s="57"/>
      <c r="G500" s="57"/>
      <c r="J500" s="48"/>
      <c r="S500" s="48"/>
      <c r="T500" s="48"/>
      <c r="U500" s="53"/>
      <c r="W500" s="53"/>
      <c r="X500" s="53"/>
      <c r="Y500" s="53"/>
      <c r="Z500" s="53"/>
    </row>
    <row r="501" spans="1:26" ht="12.75">
      <c r="A501" s="16"/>
      <c r="C501" s="56"/>
      <c r="D501" s="57"/>
      <c r="E501" s="57"/>
      <c r="F501" s="57"/>
      <c r="G501" s="57"/>
      <c r="J501" s="48"/>
      <c r="S501" s="48"/>
      <c r="T501" s="48"/>
      <c r="U501" s="53"/>
      <c r="W501" s="53"/>
      <c r="X501" s="53"/>
      <c r="Y501" s="53"/>
      <c r="Z501" s="53"/>
    </row>
    <row r="502" spans="1:26" ht="12.75">
      <c r="A502" s="16"/>
      <c r="C502" s="56"/>
      <c r="D502" s="57"/>
      <c r="E502" s="57"/>
      <c r="F502" s="57"/>
      <c r="G502" s="57"/>
      <c r="J502" s="48"/>
      <c r="S502" s="48"/>
      <c r="T502" s="48"/>
      <c r="U502" s="53"/>
      <c r="W502" s="53"/>
      <c r="X502" s="53"/>
      <c r="Y502" s="53"/>
      <c r="Z502" s="53"/>
    </row>
    <row r="503" spans="1:26" ht="12.75">
      <c r="A503" s="16"/>
      <c r="C503" s="56"/>
      <c r="D503" s="57"/>
      <c r="E503" s="57"/>
      <c r="F503" s="57"/>
      <c r="G503" s="57"/>
      <c r="J503" s="48"/>
      <c r="S503" s="48"/>
      <c r="T503" s="48"/>
      <c r="U503" s="53"/>
      <c r="W503" s="53"/>
      <c r="X503" s="53"/>
      <c r="Y503" s="53"/>
      <c r="Z503" s="53"/>
    </row>
    <row r="504" spans="1:26" ht="12.75">
      <c r="A504" s="16"/>
      <c r="C504" s="56"/>
      <c r="D504" s="57"/>
      <c r="E504" s="57"/>
      <c r="F504" s="57"/>
      <c r="G504" s="57"/>
      <c r="J504" s="48"/>
      <c r="S504" s="48"/>
      <c r="T504" s="48"/>
      <c r="U504" s="53"/>
      <c r="W504" s="53"/>
      <c r="X504" s="53"/>
      <c r="Y504" s="53"/>
      <c r="Z504" s="53"/>
    </row>
    <row r="505" spans="1:26" ht="12.75">
      <c r="A505" s="16"/>
      <c r="C505" s="56"/>
      <c r="D505" s="57"/>
      <c r="E505" s="57"/>
      <c r="F505" s="57"/>
      <c r="G505" s="57"/>
      <c r="J505" s="48"/>
      <c r="S505" s="48"/>
      <c r="T505" s="48"/>
      <c r="U505" s="53"/>
      <c r="W505" s="53"/>
      <c r="X505" s="53"/>
      <c r="Y505" s="53"/>
      <c r="Z505" s="53"/>
    </row>
    <row r="506" spans="1:26" ht="12.75">
      <c r="A506" s="16"/>
      <c r="C506" s="56"/>
      <c r="D506" s="57"/>
      <c r="E506" s="57"/>
      <c r="F506" s="57"/>
      <c r="G506" s="57"/>
      <c r="J506" s="48"/>
      <c r="S506" s="48"/>
      <c r="T506" s="48"/>
      <c r="U506" s="53"/>
      <c r="W506" s="53"/>
      <c r="X506" s="53"/>
      <c r="Y506" s="53"/>
      <c r="Z506" s="53"/>
    </row>
    <row r="507" spans="1:26" ht="12.75">
      <c r="A507" s="16"/>
      <c r="C507" s="56"/>
      <c r="D507" s="57"/>
      <c r="E507" s="57"/>
      <c r="F507" s="57"/>
      <c r="G507" s="57"/>
      <c r="J507" s="48"/>
      <c r="S507" s="48"/>
      <c r="T507" s="48"/>
      <c r="U507" s="53"/>
      <c r="W507" s="53"/>
      <c r="X507" s="53"/>
      <c r="Y507" s="53"/>
      <c r="Z507" s="53"/>
    </row>
    <row r="508" spans="1:26" ht="12.75">
      <c r="A508" s="16"/>
      <c r="C508" s="56"/>
      <c r="D508" s="57"/>
      <c r="E508" s="57"/>
      <c r="F508" s="57"/>
      <c r="G508" s="57"/>
      <c r="J508" s="48"/>
      <c r="S508" s="48"/>
      <c r="T508" s="48"/>
      <c r="U508" s="53"/>
      <c r="W508" s="53"/>
      <c r="X508" s="53"/>
      <c r="Y508" s="53"/>
      <c r="Z508" s="53"/>
    </row>
    <row r="509" spans="1:26" ht="12.75">
      <c r="A509" s="16"/>
      <c r="C509" s="56"/>
      <c r="D509" s="57"/>
      <c r="E509" s="57"/>
      <c r="F509" s="57"/>
      <c r="G509" s="57"/>
      <c r="J509" s="48"/>
      <c r="S509" s="48"/>
      <c r="T509" s="48"/>
      <c r="U509" s="53"/>
      <c r="W509" s="53"/>
      <c r="X509" s="53"/>
      <c r="Y509" s="53"/>
      <c r="Z509" s="53"/>
    </row>
    <row r="510" spans="1:26" ht="12.75">
      <c r="A510" s="16"/>
      <c r="C510" s="56"/>
      <c r="D510" s="57"/>
      <c r="E510" s="57"/>
      <c r="F510" s="57"/>
      <c r="G510" s="57"/>
      <c r="J510" s="48"/>
      <c r="S510" s="48"/>
      <c r="T510" s="48"/>
      <c r="U510" s="53"/>
      <c r="W510" s="53"/>
      <c r="X510" s="53"/>
      <c r="Y510" s="53"/>
      <c r="Z510" s="53"/>
    </row>
    <row r="511" spans="1:26" ht="12.75">
      <c r="A511" s="16"/>
      <c r="C511" s="56"/>
      <c r="D511" s="57"/>
      <c r="E511" s="57"/>
      <c r="F511" s="57"/>
      <c r="G511" s="57"/>
      <c r="J511" s="48"/>
      <c r="S511" s="48"/>
      <c r="T511" s="48"/>
      <c r="U511" s="53"/>
      <c r="W511" s="53"/>
      <c r="X511" s="53"/>
      <c r="Y511" s="53"/>
      <c r="Z511" s="53"/>
    </row>
    <row r="512" spans="1:26" ht="12.75">
      <c r="A512" s="16"/>
      <c r="C512" s="56"/>
      <c r="D512" s="57"/>
      <c r="E512" s="57"/>
      <c r="F512" s="57"/>
      <c r="G512" s="57"/>
      <c r="J512" s="48"/>
      <c r="S512" s="48"/>
      <c r="T512" s="48"/>
      <c r="U512" s="53"/>
      <c r="W512" s="53"/>
      <c r="X512" s="53"/>
      <c r="Y512" s="53"/>
      <c r="Z512" s="53"/>
    </row>
    <row r="513" spans="1:26" ht="12.75">
      <c r="A513" s="16"/>
      <c r="C513" s="56"/>
      <c r="D513" s="57"/>
      <c r="E513" s="57"/>
      <c r="F513" s="57"/>
      <c r="G513" s="57"/>
      <c r="J513" s="48"/>
      <c r="S513" s="48"/>
      <c r="T513" s="48"/>
      <c r="U513" s="53"/>
      <c r="W513" s="53"/>
      <c r="X513" s="53"/>
      <c r="Y513" s="53"/>
      <c r="Z513" s="53"/>
    </row>
    <row r="514" spans="1:26" ht="12.75">
      <c r="A514" s="16"/>
      <c r="C514" s="56"/>
      <c r="D514" s="57"/>
      <c r="E514" s="57"/>
      <c r="F514" s="57"/>
      <c r="G514" s="57"/>
      <c r="J514" s="48"/>
      <c r="S514" s="48"/>
      <c r="T514" s="48"/>
      <c r="U514" s="53"/>
      <c r="W514" s="53"/>
      <c r="X514" s="53"/>
      <c r="Y514" s="53"/>
      <c r="Z514" s="53"/>
    </row>
    <row r="515" spans="1:26" ht="12.75">
      <c r="A515" s="16"/>
      <c r="C515" s="56"/>
      <c r="D515" s="57"/>
      <c r="E515" s="57"/>
      <c r="F515" s="57"/>
      <c r="G515" s="57"/>
      <c r="J515" s="48"/>
      <c r="S515" s="48"/>
      <c r="T515" s="48"/>
      <c r="U515" s="53"/>
      <c r="W515" s="53"/>
      <c r="X515" s="53"/>
      <c r="Y515" s="53"/>
      <c r="Z515" s="53"/>
    </row>
    <row r="516" spans="1:26" ht="12.75">
      <c r="A516" s="16"/>
      <c r="C516" s="56"/>
      <c r="D516" s="57"/>
      <c r="E516" s="57"/>
      <c r="F516" s="57"/>
      <c r="G516" s="57"/>
      <c r="J516" s="48"/>
      <c r="S516" s="48"/>
      <c r="T516" s="48"/>
      <c r="U516" s="53"/>
      <c r="W516" s="53"/>
      <c r="X516" s="53"/>
      <c r="Y516" s="53"/>
      <c r="Z516" s="53"/>
    </row>
    <row r="517" spans="1:26" ht="12.75">
      <c r="A517" s="16"/>
      <c r="C517" s="56"/>
      <c r="D517" s="57"/>
      <c r="E517" s="57"/>
      <c r="F517" s="57"/>
      <c r="G517" s="57"/>
      <c r="J517" s="48"/>
      <c r="S517" s="48"/>
      <c r="T517" s="48"/>
      <c r="U517" s="53"/>
      <c r="W517" s="53"/>
      <c r="X517" s="53"/>
      <c r="Y517" s="53"/>
      <c r="Z517" s="53"/>
    </row>
    <row r="518" spans="1:26" ht="12.75">
      <c r="A518" s="16"/>
      <c r="C518" s="56"/>
      <c r="D518" s="57"/>
      <c r="E518" s="57"/>
      <c r="F518" s="57"/>
      <c r="G518" s="57"/>
      <c r="J518" s="48"/>
      <c r="S518" s="48"/>
      <c r="T518" s="48"/>
      <c r="U518" s="53"/>
      <c r="W518" s="53"/>
      <c r="X518" s="53"/>
      <c r="Y518" s="53"/>
      <c r="Z518" s="53"/>
    </row>
    <row r="519" spans="1:26" ht="12.75">
      <c r="A519" s="16"/>
      <c r="C519" s="56"/>
      <c r="D519" s="57"/>
      <c r="E519" s="57"/>
      <c r="F519" s="57"/>
      <c r="G519" s="57"/>
      <c r="J519" s="48"/>
      <c r="S519" s="48"/>
      <c r="T519" s="48"/>
      <c r="U519" s="53"/>
      <c r="W519" s="53"/>
      <c r="X519" s="53"/>
      <c r="Y519" s="53"/>
      <c r="Z519" s="53"/>
    </row>
    <row r="520" spans="1:26" ht="12.75">
      <c r="A520" s="16"/>
      <c r="C520" s="56"/>
      <c r="D520" s="57"/>
      <c r="E520" s="57"/>
      <c r="F520" s="57"/>
      <c r="G520" s="57"/>
      <c r="J520" s="48"/>
      <c r="S520" s="48"/>
      <c r="T520" s="48"/>
      <c r="U520" s="53"/>
      <c r="W520" s="53"/>
      <c r="X520" s="53"/>
      <c r="Y520" s="53"/>
      <c r="Z520" s="53"/>
    </row>
    <row r="521" spans="1:26" ht="12.75">
      <c r="A521" s="16"/>
      <c r="C521" s="56"/>
      <c r="D521" s="57"/>
      <c r="E521" s="57"/>
      <c r="F521" s="57"/>
      <c r="G521" s="57"/>
      <c r="J521" s="48"/>
      <c r="S521" s="48"/>
      <c r="T521" s="48"/>
      <c r="U521" s="53"/>
      <c r="W521" s="53"/>
      <c r="X521" s="53"/>
      <c r="Y521" s="53"/>
      <c r="Z521" s="53"/>
    </row>
    <row r="522" spans="1:26" ht="12.75">
      <c r="A522" s="16"/>
      <c r="C522" s="56"/>
      <c r="D522" s="57"/>
      <c r="E522" s="57"/>
      <c r="F522" s="57"/>
      <c r="G522" s="57"/>
      <c r="J522" s="48"/>
      <c r="S522" s="48"/>
      <c r="T522" s="48"/>
      <c r="U522" s="53"/>
      <c r="W522" s="53"/>
      <c r="X522" s="53"/>
      <c r="Y522" s="53"/>
      <c r="Z522" s="53"/>
    </row>
    <row r="523" spans="1:26" ht="12.75">
      <c r="A523" s="16"/>
      <c r="C523" s="56"/>
      <c r="D523" s="57"/>
      <c r="E523" s="57"/>
      <c r="F523" s="57"/>
      <c r="G523" s="57"/>
      <c r="J523" s="48"/>
      <c r="S523" s="48"/>
      <c r="T523" s="48"/>
      <c r="U523" s="53"/>
      <c r="W523" s="53"/>
      <c r="X523" s="53"/>
      <c r="Y523" s="53"/>
      <c r="Z523" s="53"/>
    </row>
    <row r="524" spans="1:26" ht="12.75">
      <c r="A524" s="16"/>
      <c r="C524" s="56"/>
      <c r="D524" s="57"/>
      <c r="E524" s="57"/>
      <c r="F524" s="57"/>
      <c r="G524" s="57"/>
      <c r="J524" s="48"/>
      <c r="S524" s="48"/>
      <c r="T524" s="48"/>
      <c r="U524" s="53"/>
      <c r="W524" s="53"/>
      <c r="X524" s="53"/>
      <c r="Y524" s="53"/>
      <c r="Z524" s="53"/>
    </row>
    <row r="525" spans="1:26" ht="12.75">
      <c r="A525" s="16"/>
      <c r="C525" s="56"/>
      <c r="D525" s="57"/>
      <c r="E525" s="57"/>
      <c r="F525" s="57"/>
      <c r="G525" s="57"/>
      <c r="J525" s="48"/>
      <c r="S525" s="48"/>
      <c r="T525" s="48"/>
      <c r="U525" s="53"/>
      <c r="W525" s="53"/>
      <c r="X525" s="53"/>
      <c r="Y525" s="53"/>
      <c r="Z525" s="53"/>
    </row>
    <row r="526" spans="1:26" ht="12.75">
      <c r="A526" s="16"/>
      <c r="C526" s="56"/>
      <c r="D526" s="57"/>
      <c r="E526" s="57"/>
      <c r="F526" s="57"/>
      <c r="G526" s="57"/>
      <c r="J526" s="48"/>
      <c r="S526" s="48"/>
      <c r="T526" s="48"/>
      <c r="U526" s="53"/>
      <c r="W526" s="53"/>
      <c r="X526" s="53"/>
      <c r="Y526" s="53"/>
      <c r="Z526" s="53"/>
    </row>
    <row r="527" spans="1:26" ht="12.75">
      <c r="A527" s="16"/>
      <c r="C527" s="56"/>
      <c r="D527" s="57"/>
      <c r="E527" s="57"/>
      <c r="F527" s="57"/>
      <c r="G527" s="57"/>
      <c r="J527" s="48"/>
      <c r="S527" s="48"/>
      <c r="T527" s="48"/>
      <c r="U527" s="53"/>
      <c r="W527" s="53"/>
      <c r="X527" s="53"/>
      <c r="Y527" s="53"/>
      <c r="Z527" s="53"/>
    </row>
    <row r="528" spans="1:26" ht="12.75">
      <c r="A528" s="16"/>
      <c r="C528" s="56"/>
      <c r="D528" s="57"/>
      <c r="E528" s="57"/>
      <c r="F528" s="57"/>
      <c r="G528" s="57"/>
      <c r="J528" s="48"/>
      <c r="S528" s="48"/>
      <c r="T528" s="48"/>
      <c r="U528" s="53"/>
      <c r="W528" s="53"/>
      <c r="X528" s="53"/>
      <c r="Y528" s="53"/>
      <c r="Z528" s="53"/>
    </row>
    <row r="529" spans="1:26" ht="12.75">
      <c r="A529" s="16"/>
      <c r="C529" s="56"/>
      <c r="D529" s="57"/>
      <c r="E529" s="57"/>
      <c r="F529" s="57"/>
      <c r="G529" s="57"/>
      <c r="J529" s="48"/>
      <c r="S529" s="48"/>
      <c r="T529" s="48"/>
      <c r="U529" s="53"/>
      <c r="W529" s="53"/>
      <c r="X529" s="53"/>
      <c r="Y529" s="53"/>
      <c r="Z529" s="53"/>
    </row>
    <row r="530" spans="1:26" ht="12.75">
      <c r="A530" s="16"/>
      <c r="C530" s="56"/>
      <c r="D530" s="57"/>
      <c r="E530" s="57"/>
      <c r="F530" s="57"/>
      <c r="G530" s="57"/>
      <c r="J530" s="48"/>
      <c r="S530" s="48"/>
      <c r="T530" s="48"/>
      <c r="U530" s="53"/>
      <c r="W530" s="53"/>
      <c r="X530" s="53"/>
      <c r="Y530" s="53"/>
      <c r="Z530" s="53"/>
    </row>
    <row r="531" spans="1:26" ht="12.75">
      <c r="A531" s="16"/>
      <c r="C531" s="56"/>
      <c r="D531" s="57"/>
      <c r="E531" s="57"/>
      <c r="F531" s="57"/>
      <c r="G531" s="57"/>
      <c r="J531" s="48"/>
      <c r="S531" s="48"/>
      <c r="T531" s="48"/>
      <c r="U531" s="53"/>
      <c r="W531" s="53"/>
      <c r="X531" s="53"/>
      <c r="Y531" s="53"/>
      <c r="Z531" s="53"/>
    </row>
    <row r="532" spans="1:26" ht="12.75">
      <c r="A532" s="16"/>
      <c r="C532" s="56"/>
      <c r="D532" s="57"/>
      <c r="E532" s="57"/>
      <c r="F532" s="57"/>
      <c r="G532" s="57"/>
      <c r="J532" s="48"/>
      <c r="S532" s="48"/>
      <c r="T532" s="48"/>
      <c r="U532" s="53"/>
      <c r="W532" s="53"/>
      <c r="X532" s="53"/>
      <c r="Y532" s="53"/>
      <c r="Z532" s="53"/>
    </row>
    <row r="533" spans="1:26" ht="12.75">
      <c r="A533" s="16"/>
      <c r="C533" s="56"/>
      <c r="D533" s="57"/>
      <c r="E533" s="57"/>
      <c r="F533" s="57"/>
      <c r="G533" s="57"/>
      <c r="J533" s="48"/>
      <c r="S533" s="48"/>
      <c r="T533" s="48"/>
      <c r="U533" s="53"/>
      <c r="W533" s="53"/>
      <c r="X533" s="53"/>
      <c r="Y533" s="53"/>
      <c r="Z533" s="53"/>
    </row>
    <row r="534" spans="1:26" ht="12.75">
      <c r="A534" s="16"/>
      <c r="C534" s="56"/>
      <c r="D534" s="57"/>
      <c r="E534" s="57"/>
      <c r="F534" s="57"/>
      <c r="G534" s="57"/>
      <c r="J534" s="48"/>
      <c r="S534" s="48"/>
      <c r="T534" s="48"/>
      <c r="U534" s="53"/>
      <c r="W534" s="53"/>
      <c r="X534" s="53"/>
      <c r="Y534" s="53"/>
      <c r="Z534" s="53"/>
    </row>
    <row r="535" spans="1:26" ht="12.75">
      <c r="A535" s="16"/>
      <c r="C535" s="56"/>
      <c r="D535" s="57"/>
      <c r="E535" s="57"/>
      <c r="F535" s="57"/>
      <c r="G535" s="57"/>
      <c r="J535" s="48"/>
      <c r="S535" s="48"/>
      <c r="T535" s="48"/>
      <c r="U535" s="53"/>
      <c r="W535" s="53"/>
      <c r="X535" s="53"/>
      <c r="Y535" s="53"/>
      <c r="Z535" s="53"/>
    </row>
    <row r="536" spans="1:26" ht="12.75">
      <c r="A536" s="16"/>
      <c r="C536" s="56"/>
      <c r="D536" s="57"/>
      <c r="E536" s="57"/>
      <c r="F536" s="57"/>
      <c r="G536" s="57"/>
      <c r="J536" s="48"/>
      <c r="S536" s="48"/>
      <c r="T536" s="48"/>
      <c r="U536" s="53"/>
      <c r="W536" s="53"/>
      <c r="X536" s="53"/>
      <c r="Y536" s="53"/>
      <c r="Z536" s="53"/>
    </row>
    <row r="537" spans="1:26" ht="12.75">
      <c r="A537" s="16"/>
      <c r="C537" s="56"/>
      <c r="D537" s="57"/>
      <c r="E537" s="57"/>
      <c r="F537" s="57"/>
      <c r="G537" s="57"/>
      <c r="J537" s="48"/>
      <c r="S537" s="48"/>
      <c r="T537" s="48"/>
      <c r="U537" s="53"/>
      <c r="W537" s="53"/>
      <c r="X537" s="53"/>
      <c r="Y537" s="53"/>
      <c r="Z537" s="53"/>
    </row>
    <row r="538" spans="1:26" ht="12.75">
      <c r="A538" s="16"/>
      <c r="C538" s="56"/>
      <c r="D538" s="57"/>
      <c r="E538" s="57"/>
      <c r="F538" s="57"/>
      <c r="G538" s="57"/>
      <c r="J538" s="48"/>
      <c r="S538" s="48"/>
      <c r="T538" s="48"/>
      <c r="U538" s="53"/>
      <c r="W538" s="53"/>
      <c r="X538" s="53"/>
      <c r="Y538" s="53"/>
      <c r="Z538" s="53"/>
    </row>
    <row r="539" spans="1:26" ht="12.75">
      <c r="A539" s="16"/>
      <c r="C539" s="56"/>
      <c r="D539" s="57"/>
      <c r="E539" s="57"/>
      <c r="F539" s="57"/>
      <c r="G539" s="57"/>
      <c r="J539" s="48"/>
      <c r="S539" s="48"/>
      <c r="T539" s="48"/>
      <c r="U539" s="53"/>
      <c r="W539" s="53"/>
      <c r="X539" s="53"/>
      <c r="Y539" s="53"/>
      <c r="Z539" s="53"/>
    </row>
    <row r="540" spans="1:26" ht="12.75">
      <c r="A540" s="16"/>
      <c r="C540" s="56"/>
      <c r="D540" s="57"/>
      <c r="E540" s="57"/>
      <c r="F540" s="57"/>
      <c r="G540" s="57"/>
      <c r="J540" s="48"/>
      <c r="S540" s="48"/>
      <c r="T540" s="48"/>
      <c r="U540" s="53"/>
      <c r="W540" s="53"/>
      <c r="X540" s="53"/>
      <c r="Y540" s="53"/>
      <c r="Z540" s="53"/>
    </row>
    <row r="541" spans="1:26" ht="12.75">
      <c r="A541" s="16"/>
      <c r="C541" s="56"/>
      <c r="D541" s="57"/>
      <c r="E541" s="57"/>
      <c r="F541" s="57"/>
      <c r="G541" s="57"/>
      <c r="J541" s="48"/>
      <c r="S541" s="48"/>
      <c r="T541" s="48"/>
      <c r="U541" s="53"/>
      <c r="W541" s="53"/>
      <c r="X541" s="53"/>
      <c r="Y541" s="53"/>
      <c r="Z541" s="53"/>
    </row>
    <row r="542" spans="1:26" ht="12.75">
      <c r="A542" s="16"/>
      <c r="C542" s="56"/>
      <c r="D542" s="57"/>
      <c r="E542" s="57"/>
      <c r="F542" s="57"/>
      <c r="G542" s="57"/>
      <c r="J542" s="48"/>
      <c r="S542" s="48"/>
      <c r="T542" s="48"/>
      <c r="U542" s="53"/>
      <c r="W542" s="53"/>
      <c r="X542" s="53"/>
      <c r="Y542" s="53"/>
      <c r="Z542" s="53"/>
    </row>
    <row r="543" spans="1:26" ht="12.75">
      <c r="A543" s="16"/>
      <c r="C543" s="56"/>
      <c r="D543" s="57"/>
      <c r="E543" s="57"/>
      <c r="F543" s="57"/>
      <c r="G543" s="57"/>
      <c r="J543" s="48"/>
      <c r="S543" s="48"/>
      <c r="T543" s="48"/>
      <c r="U543" s="53"/>
      <c r="W543" s="53"/>
      <c r="X543" s="53"/>
      <c r="Y543" s="53"/>
      <c r="Z543" s="53"/>
    </row>
    <row r="544" spans="1:26" ht="12.75">
      <c r="A544" s="16"/>
      <c r="C544" s="56"/>
      <c r="D544" s="57"/>
      <c r="E544" s="57"/>
      <c r="F544" s="57"/>
      <c r="G544" s="57"/>
      <c r="J544" s="48"/>
      <c r="S544" s="48"/>
      <c r="T544" s="48"/>
      <c r="U544" s="53"/>
      <c r="W544" s="53"/>
      <c r="X544" s="53"/>
      <c r="Y544" s="53"/>
      <c r="Z544" s="53"/>
    </row>
    <row r="545" spans="1:26" ht="12.75">
      <c r="A545" s="16"/>
      <c r="C545" s="56"/>
      <c r="D545" s="57"/>
      <c r="E545" s="57"/>
      <c r="F545" s="57"/>
      <c r="G545" s="57"/>
      <c r="J545" s="48"/>
      <c r="S545" s="48"/>
      <c r="T545" s="48"/>
      <c r="U545" s="53"/>
      <c r="W545" s="53"/>
      <c r="X545" s="53"/>
      <c r="Y545" s="53"/>
      <c r="Z545" s="53"/>
    </row>
    <row r="546" spans="1:26" ht="12.75">
      <c r="A546" s="16"/>
      <c r="C546" s="56"/>
      <c r="D546" s="57"/>
      <c r="E546" s="57"/>
      <c r="F546" s="57"/>
      <c r="G546" s="57"/>
      <c r="J546" s="48"/>
      <c r="S546" s="48"/>
      <c r="T546" s="48"/>
      <c r="U546" s="53"/>
      <c r="W546" s="53"/>
      <c r="X546" s="53"/>
      <c r="Y546" s="53"/>
      <c r="Z546" s="53"/>
    </row>
    <row r="547" spans="1:26" ht="12.75">
      <c r="A547" s="16"/>
      <c r="C547" s="56"/>
      <c r="D547" s="57"/>
      <c r="E547" s="57"/>
      <c r="F547" s="57"/>
      <c r="G547" s="57"/>
      <c r="J547" s="48"/>
      <c r="S547" s="48"/>
      <c r="T547" s="48"/>
      <c r="U547" s="53"/>
      <c r="W547" s="53"/>
      <c r="X547" s="53"/>
      <c r="Y547" s="53"/>
      <c r="Z547" s="53"/>
    </row>
    <row r="548" spans="1:26" ht="12.75">
      <c r="A548" s="16"/>
      <c r="C548" s="56"/>
      <c r="D548" s="57"/>
      <c r="E548" s="57"/>
      <c r="F548" s="57"/>
      <c r="G548" s="57"/>
      <c r="J548" s="48"/>
      <c r="S548" s="48"/>
      <c r="T548" s="48"/>
      <c r="U548" s="53"/>
      <c r="W548" s="53"/>
      <c r="X548" s="53"/>
      <c r="Y548" s="53"/>
      <c r="Z548" s="53"/>
    </row>
    <row r="549" spans="1:26" ht="12.75">
      <c r="A549" s="16"/>
      <c r="C549" s="56"/>
      <c r="D549" s="57"/>
      <c r="E549" s="57"/>
      <c r="F549" s="57"/>
      <c r="G549" s="57"/>
      <c r="J549" s="48"/>
      <c r="S549" s="48"/>
      <c r="T549" s="48"/>
      <c r="U549" s="53"/>
      <c r="W549" s="53"/>
      <c r="X549" s="53"/>
      <c r="Y549" s="53"/>
      <c r="Z549" s="53"/>
    </row>
    <row r="550" spans="1:26" ht="12.75">
      <c r="A550" s="16"/>
      <c r="C550" s="56"/>
      <c r="D550" s="57"/>
      <c r="E550" s="57"/>
      <c r="F550" s="57"/>
      <c r="G550" s="57"/>
      <c r="J550" s="48"/>
      <c r="S550" s="48"/>
      <c r="T550" s="48"/>
      <c r="U550" s="53"/>
      <c r="W550" s="53"/>
      <c r="X550" s="53"/>
      <c r="Y550" s="53"/>
      <c r="Z550" s="53"/>
    </row>
    <row r="551" spans="1:26" ht="12.75">
      <c r="A551" s="16"/>
      <c r="C551" s="56"/>
      <c r="D551" s="57"/>
      <c r="E551" s="57"/>
      <c r="F551" s="57"/>
      <c r="G551" s="57"/>
      <c r="J551" s="48"/>
      <c r="S551" s="48"/>
      <c r="T551" s="48"/>
      <c r="U551" s="53"/>
      <c r="W551" s="53"/>
      <c r="X551" s="53"/>
      <c r="Y551" s="53"/>
      <c r="Z551" s="53"/>
    </row>
    <row r="552" spans="1:26" ht="12.75">
      <c r="A552" s="16"/>
      <c r="C552" s="56"/>
      <c r="D552" s="57"/>
      <c r="E552" s="57"/>
      <c r="F552" s="57"/>
      <c r="G552" s="57"/>
      <c r="J552" s="48"/>
      <c r="S552" s="48"/>
      <c r="T552" s="48"/>
      <c r="U552" s="53"/>
      <c r="W552" s="53"/>
      <c r="X552" s="53"/>
      <c r="Y552" s="53"/>
      <c r="Z552" s="53"/>
    </row>
    <row r="553" spans="1:26" ht="12.75">
      <c r="A553" s="16"/>
      <c r="C553" s="56"/>
      <c r="D553" s="57"/>
      <c r="E553" s="57"/>
      <c r="F553" s="57"/>
      <c r="G553" s="57"/>
      <c r="J553" s="48"/>
      <c r="S553" s="48"/>
      <c r="T553" s="48"/>
      <c r="U553" s="53"/>
      <c r="W553" s="53"/>
      <c r="X553" s="53"/>
      <c r="Y553" s="53"/>
      <c r="Z553" s="53"/>
    </row>
    <row r="554" spans="1:26" ht="12.75">
      <c r="A554" s="16"/>
      <c r="C554" s="56"/>
      <c r="D554" s="57"/>
      <c r="E554" s="57"/>
      <c r="F554" s="57"/>
      <c r="G554" s="57"/>
      <c r="J554" s="48"/>
      <c r="S554" s="48"/>
      <c r="T554" s="48"/>
      <c r="U554" s="53"/>
      <c r="W554" s="53"/>
      <c r="X554" s="53"/>
      <c r="Y554" s="53"/>
      <c r="Z554" s="53"/>
    </row>
    <row r="555" spans="1:26" ht="12.75">
      <c r="A555" s="16"/>
      <c r="C555" s="56"/>
      <c r="D555" s="57"/>
      <c r="E555" s="57"/>
      <c r="F555" s="57"/>
      <c r="G555" s="57"/>
      <c r="J555" s="48"/>
      <c r="S555" s="48"/>
      <c r="T555" s="48"/>
      <c r="U555" s="53"/>
      <c r="W555" s="53"/>
      <c r="X555" s="53"/>
      <c r="Y555" s="53"/>
      <c r="Z555" s="53"/>
    </row>
    <row r="556" spans="1:26" ht="12.75">
      <c r="A556" s="16"/>
      <c r="C556" s="56"/>
      <c r="D556" s="57"/>
      <c r="E556" s="57"/>
      <c r="F556" s="57"/>
      <c r="G556" s="57"/>
      <c r="J556" s="48"/>
      <c r="S556" s="48"/>
      <c r="T556" s="48"/>
      <c r="U556" s="53"/>
      <c r="W556" s="53"/>
      <c r="X556" s="53"/>
      <c r="Y556" s="53"/>
      <c r="Z556" s="53"/>
    </row>
    <row r="557" spans="1:26" ht="12.75">
      <c r="A557" s="16"/>
      <c r="C557" s="56"/>
      <c r="D557" s="57"/>
      <c r="E557" s="57"/>
      <c r="F557" s="57"/>
      <c r="G557" s="57"/>
      <c r="J557" s="48"/>
      <c r="S557" s="48"/>
      <c r="T557" s="48"/>
      <c r="U557" s="53"/>
      <c r="W557" s="53"/>
      <c r="X557" s="53"/>
      <c r="Y557" s="53"/>
      <c r="Z557" s="53"/>
    </row>
    <row r="558" spans="1:26" ht="12.75">
      <c r="A558" s="16"/>
      <c r="C558" s="56"/>
      <c r="D558" s="57"/>
      <c r="E558" s="57"/>
      <c r="F558" s="57"/>
      <c r="G558" s="57"/>
      <c r="J558" s="48"/>
      <c r="S558" s="48"/>
      <c r="T558" s="48"/>
      <c r="U558" s="53"/>
      <c r="W558" s="53"/>
      <c r="X558" s="53"/>
      <c r="Y558" s="53"/>
      <c r="Z558" s="53"/>
    </row>
    <row r="559" spans="1:26" ht="12.75">
      <c r="A559" s="16"/>
      <c r="C559" s="56"/>
      <c r="D559" s="57"/>
      <c r="E559" s="57"/>
      <c r="F559" s="57"/>
      <c r="G559" s="57"/>
      <c r="J559" s="48"/>
      <c r="S559" s="48"/>
      <c r="T559" s="48"/>
      <c r="U559" s="53"/>
      <c r="W559" s="53"/>
      <c r="X559" s="53"/>
      <c r="Y559" s="53"/>
      <c r="Z559" s="53"/>
    </row>
    <row r="560" spans="1:26" ht="12.75">
      <c r="A560" s="16"/>
      <c r="C560" s="56"/>
      <c r="D560" s="57"/>
      <c r="E560" s="57"/>
      <c r="F560" s="57"/>
      <c r="G560" s="57"/>
      <c r="J560" s="48"/>
      <c r="S560" s="48"/>
      <c r="T560" s="48"/>
      <c r="U560" s="53"/>
      <c r="W560" s="53"/>
      <c r="X560" s="53"/>
      <c r="Y560" s="53"/>
      <c r="Z560" s="53"/>
    </row>
    <row r="561" spans="1:26" ht="12.75">
      <c r="A561" s="16"/>
      <c r="C561" s="56"/>
      <c r="D561" s="57"/>
      <c r="E561" s="57"/>
      <c r="F561" s="57"/>
      <c r="G561" s="57"/>
      <c r="J561" s="48"/>
      <c r="S561" s="48"/>
      <c r="T561" s="48"/>
      <c r="U561" s="53"/>
      <c r="W561" s="53"/>
      <c r="X561" s="53"/>
      <c r="Y561" s="53"/>
      <c r="Z561" s="53"/>
    </row>
    <row r="562" spans="1:26" ht="12.75">
      <c r="A562" s="16"/>
      <c r="C562" s="56"/>
      <c r="D562" s="57"/>
      <c r="E562" s="57"/>
      <c r="F562" s="57"/>
      <c r="G562" s="57"/>
      <c r="J562" s="48"/>
      <c r="S562" s="48"/>
      <c r="T562" s="48"/>
      <c r="U562" s="53"/>
      <c r="W562" s="53"/>
      <c r="X562" s="53"/>
      <c r="Y562" s="53"/>
      <c r="Z562" s="53"/>
    </row>
    <row r="563" spans="1:26" ht="12.75">
      <c r="A563" s="16"/>
      <c r="C563" s="56"/>
      <c r="D563" s="57"/>
      <c r="E563" s="57"/>
      <c r="F563" s="57"/>
      <c r="G563" s="57"/>
      <c r="J563" s="48"/>
      <c r="S563" s="48"/>
      <c r="T563" s="48"/>
      <c r="U563" s="53"/>
      <c r="W563" s="53"/>
      <c r="X563" s="53"/>
      <c r="Y563" s="53"/>
      <c r="Z563" s="53"/>
    </row>
    <row r="564" spans="1:26" ht="12.75">
      <c r="A564" s="16"/>
      <c r="C564" s="56"/>
      <c r="D564" s="57"/>
      <c r="E564" s="57"/>
      <c r="F564" s="57"/>
      <c r="G564" s="57"/>
      <c r="J564" s="48"/>
      <c r="S564" s="48"/>
      <c r="T564" s="48"/>
      <c r="U564" s="53"/>
      <c r="W564" s="53"/>
      <c r="X564" s="53"/>
      <c r="Y564" s="53"/>
      <c r="Z564" s="53"/>
    </row>
    <row r="565" spans="1:26" ht="12.75">
      <c r="A565" s="16"/>
      <c r="C565" s="56"/>
      <c r="D565" s="57"/>
      <c r="E565" s="57"/>
      <c r="F565" s="57"/>
      <c r="G565" s="57"/>
      <c r="J565" s="48"/>
      <c r="S565" s="48"/>
      <c r="T565" s="48"/>
      <c r="U565" s="53"/>
      <c r="W565" s="53"/>
      <c r="X565" s="53"/>
      <c r="Y565" s="53"/>
      <c r="Z565" s="53"/>
    </row>
    <row r="566" spans="1:26" ht="12.75">
      <c r="A566" s="16"/>
      <c r="C566" s="56"/>
      <c r="D566" s="57"/>
      <c r="E566" s="57"/>
      <c r="F566" s="57"/>
      <c r="G566" s="57"/>
      <c r="J566" s="48"/>
      <c r="S566" s="48"/>
      <c r="T566" s="48"/>
      <c r="U566" s="53"/>
      <c r="W566" s="53"/>
      <c r="X566" s="53"/>
      <c r="Y566" s="53"/>
      <c r="Z566" s="53"/>
    </row>
    <row r="567" spans="1:26" ht="12.75">
      <c r="A567" s="16"/>
      <c r="C567" s="56"/>
      <c r="D567" s="57"/>
      <c r="E567" s="57"/>
      <c r="F567" s="57"/>
      <c r="G567" s="57"/>
      <c r="J567" s="48"/>
      <c r="S567" s="48"/>
      <c r="T567" s="48"/>
      <c r="U567" s="53"/>
      <c r="W567" s="53"/>
      <c r="X567" s="53"/>
      <c r="Y567" s="53"/>
      <c r="Z567" s="53"/>
    </row>
    <row r="568" spans="1:26" ht="12.75">
      <c r="A568" s="16"/>
      <c r="C568" s="56"/>
      <c r="D568" s="57"/>
      <c r="E568" s="57"/>
      <c r="F568" s="57"/>
      <c r="G568" s="57"/>
      <c r="J568" s="48"/>
      <c r="S568" s="48"/>
      <c r="T568" s="48"/>
      <c r="U568" s="53"/>
      <c r="W568" s="53"/>
      <c r="X568" s="53"/>
      <c r="Y568" s="53"/>
      <c r="Z568" s="53"/>
    </row>
    <row r="569" spans="1:26" ht="12.75">
      <c r="A569" s="16"/>
      <c r="C569" s="56"/>
      <c r="D569" s="57"/>
      <c r="E569" s="57"/>
      <c r="F569" s="57"/>
      <c r="G569" s="57"/>
      <c r="J569" s="48"/>
      <c r="S569" s="48"/>
      <c r="T569" s="48"/>
      <c r="U569" s="53"/>
      <c r="W569" s="53"/>
      <c r="X569" s="53"/>
      <c r="Y569" s="53"/>
      <c r="Z569" s="53"/>
    </row>
    <row r="570" spans="1:26" ht="12.75">
      <c r="A570" s="16"/>
      <c r="C570" s="56"/>
      <c r="D570" s="57"/>
      <c r="E570" s="57"/>
      <c r="F570" s="57"/>
      <c r="G570" s="57"/>
      <c r="J570" s="48"/>
      <c r="S570" s="48"/>
      <c r="T570" s="48"/>
      <c r="U570" s="53"/>
      <c r="W570" s="53"/>
      <c r="X570" s="53"/>
      <c r="Y570" s="53"/>
      <c r="Z570" s="53"/>
    </row>
    <row r="571" spans="1:26" ht="12.75">
      <c r="A571" s="16"/>
      <c r="C571" s="56"/>
      <c r="D571" s="57"/>
      <c r="E571" s="57"/>
      <c r="F571" s="57"/>
      <c r="G571" s="57"/>
      <c r="J571" s="48"/>
      <c r="S571" s="48"/>
      <c r="T571" s="48"/>
      <c r="U571" s="53"/>
      <c r="W571" s="53"/>
      <c r="X571" s="53"/>
      <c r="Y571" s="53"/>
      <c r="Z571" s="53"/>
    </row>
    <row r="572" spans="1:26" ht="12.75">
      <c r="A572" s="16"/>
      <c r="C572" s="56"/>
      <c r="D572" s="57"/>
      <c r="E572" s="57"/>
      <c r="F572" s="57"/>
      <c r="G572" s="57"/>
      <c r="J572" s="48"/>
      <c r="S572" s="48"/>
      <c r="T572" s="48"/>
      <c r="U572" s="53"/>
      <c r="W572" s="53"/>
      <c r="X572" s="53"/>
      <c r="Y572" s="53"/>
      <c r="Z572" s="53"/>
    </row>
    <row r="573" spans="1:26" ht="12.75">
      <c r="A573" s="16"/>
      <c r="C573" s="56"/>
      <c r="D573" s="57"/>
      <c r="E573" s="57"/>
      <c r="F573" s="57"/>
      <c r="G573" s="57"/>
      <c r="J573" s="48"/>
      <c r="S573" s="48"/>
      <c r="T573" s="48"/>
      <c r="U573" s="53"/>
      <c r="W573" s="53"/>
      <c r="X573" s="53"/>
      <c r="Y573" s="53"/>
      <c r="Z573" s="53"/>
    </row>
    <row r="574" spans="1:26" ht="12.75">
      <c r="A574" s="16"/>
      <c r="C574" s="56"/>
      <c r="D574" s="57"/>
      <c r="E574" s="57"/>
      <c r="F574" s="57"/>
      <c r="G574" s="57"/>
      <c r="J574" s="48"/>
      <c r="S574" s="48"/>
      <c r="T574" s="48"/>
      <c r="U574" s="53"/>
      <c r="W574" s="53"/>
      <c r="X574" s="53"/>
      <c r="Y574" s="53"/>
      <c r="Z574" s="53"/>
    </row>
    <row r="575" spans="1:26" ht="12.75">
      <c r="A575" s="16"/>
      <c r="C575" s="56"/>
      <c r="D575" s="57"/>
      <c r="E575" s="57"/>
      <c r="F575" s="57"/>
      <c r="G575" s="57"/>
      <c r="J575" s="48"/>
      <c r="S575" s="48"/>
      <c r="T575" s="48"/>
      <c r="U575" s="53"/>
      <c r="W575" s="53"/>
      <c r="X575" s="53"/>
      <c r="Y575" s="53"/>
      <c r="Z575" s="53"/>
    </row>
    <row r="576" spans="1:26" ht="12.75">
      <c r="A576" s="16"/>
      <c r="C576" s="56"/>
      <c r="D576" s="57"/>
      <c r="E576" s="57"/>
      <c r="F576" s="57"/>
      <c r="G576" s="57"/>
      <c r="J576" s="48"/>
      <c r="S576" s="48"/>
      <c r="T576" s="48"/>
      <c r="U576" s="53"/>
      <c r="W576" s="53"/>
      <c r="X576" s="53"/>
      <c r="Y576" s="53"/>
      <c r="Z576" s="53"/>
    </row>
    <row r="577" spans="1:26" ht="12.75">
      <c r="A577" s="16"/>
      <c r="C577" s="56"/>
      <c r="D577" s="57"/>
      <c r="E577" s="57"/>
      <c r="F577" s="57"/>
      <c r="G577" s="57"/>
      <c r="J577" s="48"/>
      <c r="S577" s="48"/>
      <c r="T577" s="48"/>
      <c r="U577" s="53"/>
      <c r="W577" s="53"/>
      <c r="X577" s="53"/>
      <c r="Y577" s="53"/>
      <c r="Z577" s="53"/>
    </row>
    <row r="578" spans="1:26" ht="12.75">
      <c r="A578" s="16"/>
      <c r="C578" s="56"/>
      <c r="D578" s="57"/>
      <c r="E578" s="57"/>
      <c r="F578" s="57"/>
      <c r="G578" s="57"/>
      <c r="J578" s="48"/>
      <c r="S578" s="48"/>
      <c r="T578" s="48"/>
      <c r="U578" s="53"/>
      <c r="W578" s="53"/>
      <c r="X578" s="53"/>
      <c r="Y578" s="53"/>
      <c r="Z578" s="53"/>
    </row>
    <row r="579" spans="1:26" ht="12.75">
      <c r="A579" s="16"/>
      <c r="C579" s="56"/>
      <c r="D579" s="57"/>
      <c r="E579" s="57"/>
      <c r="F579" s="57"/>
      <c r="G579" s="57"/>
      <c r="J579" s="48"/>
      <c r="S579" s="48"/>
      <c r="T579" s="48"/>
      <c r="U579" s="53"/>
      <c r="W579" s="53"/>
      <c r="X579" s="53"/>
      <c r="Y579" s="53"/>
      <c r="Z579" s="53"/>
    </row>
    <row r="580" spans="1:26" ht="12.75">
      <c r="A580" s="16"/>
      <c r="C580" s="56"/>
      <c r="D580" s="57"/>
      <c r="E580" s="57"/>
      <c r="F580" s="57"/>
      <c r="G580" s="57"/>
      <c r="J580" s="48"/>
      <c r="S580" s="48"/>
      <c r="T580" s="48"/>
      <c r="U580" s="53"/>
      <c r="W580" s="53"/>
      <c r="X580" s="53"/>
      <c r="Y580" s="53"/>
      <c r="Z580" s="53"/>
    </row>
    <row r="581" spans="1:26" ht="12.75">
      <c r="A581" s="16"/>
      <c r="C581" s="56"/>
      <c r="D581" s="57"/>
      <c r="E581" s="57"/>
      <c r="F581" s="57"/>
      <c r="G581" s="57"/>
      <c r="J581" s="48"/>
      <c r="S581" s="48"/>
      <c r="T581" s="48"/>
      <c r="U581" s="53"/>
      <c r="W581" s="53"/>
      <c r="X581" s="53"/>
      <c r="Y581" s="53"/>
      <c r="Z581" s="53"/>
    </row>
    <row r="582" spans="1:26" ht="12.75">
      <c r="A582" s="16"/>
      <c r="C582" s="56"/>
      <c r="D582" s="57"/>
      <c r="E582" s="57"/>
      <c r="F582" s="57"/>
      <c r="G582" s="57"/>
      <c r="J582" s="48"/>
      <c r="S582" s="48"/>
      <c r="T582" s="48"/>
      <c r="U582" s="53"/>
      <c r="W582" s="53"/>
      <c r="X582" s="53"/>
      <c r="Y582" s="53"/>
      <c r="Z582" s="53"/>
    </row>
    <row r="583" spans="1:26" ht="12.75">
      <c r="A583" s="16"/>
      <c r="C583" s="56"/>
      <c r="D583" s="57"/>
      <c r="E583" s="57"/>
      <c r="F583" s="57"/>
      <c r="G583" s="57"/>
      <c r="J583" s="48"/>
      <c r="S583" s="48"/>
      <c r="T583" s="48"/>
      <c r="U583" s="53"/>
      <c r="W583" s="53"/>
      <c r="X583" s="53"/>
      <c r="Y583" s="53"/>
      <c r="Z583" s="53"/>
    </row>
    <row r="584" spans="1:26" ht="12.75">
      <c r="A584" s="16"/>
      <c r="C584" s="56"/>
      <c r="D584" s="57"/>
      <c r="E584" s="57"/>
      <c r="F584" s="57"/>
      <c r="G584" s="57"/>
      <c r="J584" s="48"/>
      <c r="S584" s="48"/>
      <c r="T584" s="48"/>
      <c r="U584" s="53"/>
      <c r="W584" s="53"/>
      <c r="X584" s="53"/>
      <c r="Y584" s="53"/>
      <c r="Z584" s="53"/>
    </row>
    <row r="585" spans="1:26" ht="12.75">
      <c r="A585" s="16"/>
      <c r="C585" s="56"/>
      <c r="D585" s="57"/>
      <c r="E585" s="57"/>
      <c r="F585" s="57"/>
      <c r="G585" s="57"/>
      <c r="J585" s="48"/>
      <c r="S585" s="48"/>
      <c r="T585" s="48"/>
      <c r="U585" s="53"/>
      <c r="W585" s="53"/>
      <c r="X585" s="53"/>
      <c r="Y585" s="53"/>
      <c r="Z585" s="53"/>
    </row>
    <row r="586" spans="1:26" ht="12.75">
      <c r="A586" s="16"/>
      <c r="C586" s="56"/>
      <c r="D586" s="57"/>
      <c r="E586" s="57"/>
      <c r="F586" s="57"/>
      <c r="G586" s="57"/>
      <c r="J586" s="48"/>
      <c r="S586" s="48"/>
      <c r="T586" s="48"/>
      <c r="U586" s="53"/>
      <c r="W586" s="53"/>
      <c r="X586" s="53"/>
      <c r="Y586" s="53"/>
      <c r="Z586" s="53"/>
    </row>
    <row r="587" spans="1:26" ht="12.75">
      <c r="A587" s="16"/>
      <c r="C587" s="56"/>
      <c r="D587" s="57"/>
      <c r="E587" s="57"/>
      <c r="F587" s="57"/>
      <c r="G587" s="57"/>
      <c r="J587" s="48"/>
      <c r="S587" s="48"/>
      <c r="T587" s="48"/>
      <c r="U587" s="53"/>
      <c r="W587" s="53"/>
      <c r="X587" s="53"/>
      <c r="Y587" s="53"/>
      <c r="Z587" s="53"/>
    </row>
    <row r="588" spans="1:26" ht="12.75">
      <c r="A588" s="16"/>
      <c r="C588" s="56"/>
      <c r="D588" s="57"/>
      <c r="E588" s="57"/>
      <c r="F588" s="57"/>
      <c r="G588" s="57"/>
      <c r="J588" s="48"/>
      <c r="S588" s="48"/>
      <c r="T588" s="48"/>
      <c r="U588" s="53"/>
      <c r="W588" s="53"/>
      <c r="X588" s="53"/>
      <c r="Y588" s="53"/>
      <c r="Z588" s="53"/>
    </row>
    <row r="589" spans="1:26" ht="12.75">
      <c r="A589" s="16"/>
      <c r="C589" s="56"/>
      <c r="D589" s="57"/>
      <c r="E589" s="57"/>
      <c r="F589" s="57"/>
      <c r="G589" s="57"/>
      <c r="J589" s="48"/>
      <c r="S589" s="48"/>
      <c r="T589" s="48"/>
      <c r="U589" s="53"/>
      <c r="W589" s="53"/>
      <c r="X589" s="53"/>
      <c r="Y589" s="53"/>
      <c r="Z589" s="53"/>
    </row>
    <row r="590" spans="1:26" ht="12.75">
      <c r="A590" s="16"/>
      <c r="C590" s="56"/>
      <c r="D590" s="57"/>
      <c r="E590" s="57"/>
      <c r="F590" s="57"/>
      <c r="G590" s="57"/>
      <c r="J590" s="48"/>
      <c r="S590" s="48"/>
      <c r="T590" s="48"/>
      <c r="U590" s="53"/>
      <c r="W590" s="53"/>
      <c r="X590" s="53"/>
      <c r="Y590" s="53"/>
      <c r="Z590" s="53"/>
    </row>
    <row r="591" spans="1:26" ht="12.75">
      <c r="A591" s="16"/>
      <c r="C591" s="56"/>
      <c r="D591" s="57"/>
      <c r="E591" s="57"/>
      <c r="F591" s="57"/>
      <c r="G591" s="57"/>
      <c r="J591" s="48"/>
      <c r="S591" s="48"/>
      <c r="T591" s="48"/>
      <c r="U591" s="53"/>
      <c r="W591" s="53"/>
      <c r="X591" s="53"/>
      <c r="Y591" s="53"/>
      <c r="Z591" s="53"/>
    </row>
    <row r="592" spans="1:26" ht="12.75">
      <c r="A592" s="16"/>
      <c r="C592" s="56"/>
      <c r="D592" s="57"/>
      <c r="E592" s="57"/>
      <c r="F592" s="57"/>
      <c r="G592" s="57"/>
      <c r="J592" s="48"/>
      <c r="S592" s="48"/>
      <c r="T592" s="48"/>
      <c r="U592" s="53"/>
      <c r="W592" s="53"/>
      <c r="X592" s="53"/>
      <c r="Y592" s="53"/>
      <c r="Z592" s="53"/>
    </row>
    <row r="593" spans="1:26" ht="12.75">
      <c r="A593" s="16"/>
      <c r="C593" s="56"/>
      <c r="D593" s="57"/>
      <c r="E593" s="57"/>
      <c r="F593" s="57"/>
      <c r="G593" s="57"/>
      <c r="J593" s="48"/>
      <c r="S593" s="48"/>
      <c r="T593" s="48"/>
      <c r="U593" s="53"/>
      <c r="W593" s="53"/>
      <c r="X593" s="53"/>
      <c r="Y593" s="53"/>
      <c r="Z593" s="53"/>
    </row>
    <row r="594" spans="1:26" ht="12.75">
      <c r="A594" s="16"/>
      <c r="C594" s="56"/>
      <c r="D594" s="57"/>
      <c r="E594" s="57"/>
      <c r="F594" s="57"/>
      <c r="G594" s="57"/>
      <c r="J594" s="48"/>
      <c r="S594" s="48"/>
      <c r="T594" s="48"/>
      <c r="U594" s="53"/>
      <c r="W594" s="53"/>
      <c r="X594" s="53"/>
      <c r="Y594" s="53"/>
      <c r="Z594" s="53"/>
    </row>
    <row r="595" spans="1:26" ht="12.75">
      <c r="A595" s="16"/>
      <c r="C595" s="56"/>
      <c r="D595" s="57"/>
      <c r="E595" s="57"/>
      <c r="F595" s="57"/>
      <c r="G595" s="57"/>
      <c r="J595" s="48"/>
      <c r="S595" s="48"/>
      <c r="T595" s="48"/>
      <c r="U595" s="53"/>
      <c r="W595" s="53"/>
      <c r="X595" s="53"/>
      <c r="Y595" s="53"/>
      <c r="Z595" s="53"/>
    </row>
    <row r="596" spans="1:26" ht="12.75">
      <c r="A596" s="16"/>
      <c r="C596" s="56"/>
      <c r="D596" s="57"/>
      <c r="E596" s="57"/>
      <c r="F596" s="57"/>
      <c r="G596" s="57"/>
      <c r="J596" s="48"/>
      <c r="S596" s="48"/>
      <c r="T596" s="48"/>
      <c r="U596" s="53"/>
      <c r="W596" s="53"/>
      <c r="X596" s="53"/>
      <c r="Y596" s="53"/>
      <c r="Z596" s="53"/>
    </row>
    <row r="597" spans="1:26" ht="12.75">
      <c r="A597" s="16"/>
      <c r="C597" s="56"/>
      <c r="D597" s="57"/>
      <c r="E597" s="57"/>
      <c r="F597" s="57"/>
      <c r="G597" s="57"/>
      <c r="J597" s="48"/>
      <c r="S597" s="48"/>
      <c r="T597" s="48"/>
      <c r="U597" s="53"/>
      <c r="W597" s="53"/>
      <c r="X597" s="53"/>
      <c r="Y597" s="53"/>
      <c r="Z597" s="53"/>
    </row>
    <row r="598" spans="1:26" ht="12.75">
      <c r="A598" s="16"/>
      <c r="C598" s="56"/>
      <c r="D598" s="57"/>
      <c r="E598" s="57"/>
      <c r="F598" s="57"/>
      <c r="G598" s="57"/>
      <c r="J598" s="48"/>
      <c r="S598" s="48"/>
      <c r="T598" s="48"/>
      <c r="U598" s="53"/>
      <c r="W598" s="53"/>
      <c r="X598" s="53"/>
      <c r="Y598" s="53"/>
      <c r="Z598" s="53"/>
    </row>
    <row r="599" spans="1:26" ht="12.75">
      <c r="A599" s="16"/>
      <c r="C599" s="56"/>
      <c r="D599" s="57"/>
      <c r="E599" s="57"/>
      <c r="F599" s="57"/>
      <c r="G599" s="57"/>
      <c r="J599" s="48"/>
      <c r="S599" s="48"/>
      <c r="T599" s="48"/>
      <c r="U599" s="53"/>
      <c r="W599" s="53"/>
      <c r="X599" s="53"/>
      <c r="Y599" s="53"/>
      <c r="Z599" s="53"/>
    </row>
    <row r="600" spans="1:26" ht="12.75">
      <c r="A600" s="16"/>
      <c r="C600" s="56"/>
      <c r="D600" s="57"/>
      <c r="E600" s="57"/>
      <c r="F600" s="57"/>
      <c r="G600" s="57"/>
      <c r="J600" s="48"/>
      <c r="S600" s="48"/>
      <c r="T600" s="48"/>
      <c r="U600" s="53"/>
      <c r="W600" s="53"/>
      <c r="X600" s="53"/>
      <c r="Y600" s="53"/>
      <c r="Z600" s="53"/>
    </row>
    <row r="601" spans="1:26" ht="12.75">
      <c r="A601" s="16"/>
      <c r="C601" s="56"/>
      <c r="D601" s="57"/>
      <c r="E601" s="57"/>
      <c r="F601" s="57"/>
      <c r="G601" s="57"/>
      <c r="J601" s="48"/>
      <c r="S601" s="48"/>
      <c r="T601" s="48"/>
      <c r="U601" s="53"/>
      <c r="W601" s="53"/>
      <c r="X601" s="53"/>
      <c r="Y601" s="53"/>
      <c r="Z601" s="53"/>
    </row>
    <row r="602" spans="1:26" ht="12.75">
      <c r="A602" s="16"/>
      <c r="C602" s="56"/>
      <c r="D602" s="57"/>
      <c r="E602" s="57"/>
      <c r="F602" s="57"/>
      <c r="G602" s="57"/>
      <c r="J602" s="48"/>
      <c r="S602" s="48"/>
      <c r="T602" s="48"/>
      <c r="U602" s="53"/>
      <c r="W602" s="53"/>
      <c r="X602" s="53"/>
      <c r="Y602" s="53"/>
      <c r="Z602" s="53"/>
    </row>
    <row r="603" spans="1:26" ht="12.75">
      <c r="A603" s="16"/>
      <c r="C603" s="56"/>
      <c r="D603" s="57"/>
      <c r="E603" s="57"/>
      <c r="F603" s="57"/>
      <c r="G603" s="57"/>
      <c r="J603" s="48"/>
      <c r="S603" s="48"/>
      <c r="T603" s="48"/>
      <c r="U603" s="53"/>
      <c r="W603" s="53"/>
      <c r="X603" s="53"/>
      <c r="Y603" s="53"/>
      <c r="Z603" s="53"/>
    </row>
    <row r="604" spans="1:26" ht="12.75">
      <c r="A604" s="16"/>
      <c r="C604" s="56"/>
      <c r="D604" s="57"/>
      <c r="E604" s="57"/>
      <c r="F604" s="57"/>
      <c r="G604" s="57"/>
      <c r="J604" s="48"/>
      <c r="S604" s="48"/>
      <c r="T604" s="48"/>
      <c r="U604" s="53"/>
      <c r="W604" s="53"/>
      <c r="X604" s="53"/>
      <c r="Y604" s="53"/>
      <c r="Z604" s="53"/>
    </row>
    <row r="605" spans="1:26" ht="12.75">
      <c r="A605" s="16"/>
      <c r="C605" s="56"/>
      <c r="D605" s="57"/>
      <c r="E605" s="57"/>
      <c r="F605" s="57"/>
      <c r="G605" s="57"/>
      <c r="J605" s="48"/>
      <c r="S605" s="48"/>
      <c r="T605" s="48"/>
      <c r="U605" s="53"/>
      <c r="W605" s="53"/>
      <c r="X605" s="53"/>
      <c r="Y605" s="53"/>
      <c r="Z605" s="53"/>
    </row>
    <row r="606" spans="1:26" ht="12.75">
      <c r="A606" s="16"/>
      <c r="C606" s="56"/>
      <c r="D606" s="57"/>
      <c r="E606" s="57"/>
      <c r="F606" s="57"/>
      <c r="G606" s="57"/>
      <c r="J606" s="48"/>
      <c r="S606" s="48"/>
      <c r="T606" s="48"/>
      <c r="U606" s="53"/>
      <c r="W606" s="53"/>
      <c r="X606" s="53"/>
      <c r="Y606" s="53"/>
      <c r="Z606" s="53"/>
    </row>
    <row r="607" spans="1:26" ht="12.75">
      <c r="A607" s="16"/>
      <c r="C607" s="56"/>
      <c r="D607" s="57"/>
      <c r="E607" s="57"/>
      <c r="F607" s="57"/>
      <c r="G607" s="57"/>
      <c r="J607" s="48"/>
      <c r="S607" s="48"/>
      <c r="T607" s="48"/>
      <c r="U607" s="53"/>
      <c r="W607" s="53"/>
      <c r="X607" s="53"/>
      <c r="Y607" s="53"/>
      <c r="Z607" s="53"/>
    </row>
    <row r="608" spans="1:26" ht="12.75">
      <c r="A608" s="16"/>
      <c r="C608" s="56"/>
      <c r="D608" s="57"/>
      <c r="E608" s="57"/>
      <c r="F608" s="57"/>
      <c r="G608" s="57"/>
      <c r="J608" s="48"/>
      <c r="S608" s="48"/>
      <c r="T608" s="48"/>
      <c r="U608" s="53"/>
      <c r="W608" s="53"/>
      <c r="X608" s="53"/>
      <c r="Y608" s="53"/>
      <c r="Z608" s="53"/>
    </row>
    <row r="609" spans="1:26" ht="12.75">
      <c r="A609" s="16"/>
      <c r="C609" s="56"/>
      <c r="D609" s="57"/>
      <c r="E609" s="57"/>
      <c r="F609" s="57"/>
      <c r="G609" s="57"/>
      <c r="J609" s="48"/>
      <c r="S609" s="48"/>
      <c r="T609" s="48"/>
      <c r="U609" s="53"/>
      <c r="W609" s="53"/>
      <c r="X609" s="53"/>
      <c r="Y609" s="53"/>
      <c r="Z609" s="53"/>
    </row>
    <row r="610" spans="1:26" ht="12.75">
      <c r="A610" s="16"/>
      <c r="C610" s="56"/>
      <c r="D610" s="57"/>
      <c r="E610" s="57"/>
      <c r="F610" s="57"/>
      <c r="G610" s="57"/>
      <c r="J610" s="48"/>
      <c r="S610" s="48"/>
      <c r="T610" s="48"/>
      <c r="U610" s="53"/>
      <c r="W610" s="53"/>
      <c r="X610" s="53"/>
      <c r="Y610" s="53"/>
      <c r="Z610" s="53"/>
    </row>
    <row r="611" spans="1:26" ht="12.75">
      <c r="A611" s="16"/>
      <c r="C611" s="56"/>
      <c r="D611" s="57"/>
      <c r="E611" s="57"/>
      <c r="F611" s="57"/>
      <c r="G611" s="57"/>
      <c r="J611" s="48"/>
      <c r="S611" s="48"/>
      <c r="T611" s="48"/>
      <c r="U611" s="53"/>
      <c r="W611" s="53"/>
      <c r="X611" s="53"/>
      <c r="Y611" s="53"/>
      <c r="Z611" s="53"/>
    </row>
    <row r="612" spans="1:26" ht="12.75">
      <c r="A612" s="16"/>
      <c r="C612" s="56"/>
      <c r="D612" s="57"/>
      <c r="E612" s="57"/>
      <c r="F612" s="57"/>
      <c r="G612" s="57"/>
      <c r="J612" s="48"/>
      <c r="S612" s="48"/>
      <c r="T612" s="48"/>
      <c r="U612" s="53"/>
      <c r="W612" s="53"/>
      <c r="X612" s="53"/>
      <c r="Y612" s="53"/>
      <c r="Z612" s="53"/>
    </row>
    <row r="613" spans="1:26" ht="12.75">
      <c r="A613" s="16"/>
      <c r="C613" s="56"/>
      <c r="D613" s="57"/>
      <c r="E613" s="57"/>
      <c r="F613" s="57"/>
      <c r="G613" s="57"/>
      <c r="J613" s="48"/>
      <c r="S613" s="48"/>
      <c r="T613" s="48"/>
      <c r="U613" s="53"/>
      <c r="W613" s="53"/>
      <c r="X613" s="53"/>
      <c r="Y613" s="53"/>
      <c r="Z613" s="53"/>
    </row>
    <row r="614" spans="1:26" ht="12.75">
      <c r="A614" s="16"/>
      <c r="C614" s="56"/>
      <c r="D614" s="57"/>
      <c r="E614" s="57"/>
      <c r="F614" s="57"/>
      <c r="G614" s="57"/>
      <c r="J614" s="48"/>
      <c r="S614" s="48"/>
      <c r="T614" s="48"/>
      <c r="U614" s="53"/>
      <c r="W614" s="53"/>
      <c r="X614" s="53"/>
      <c r="Y614" s="53"/>
      <c r="Z614" s="53"/>
    </row>
    <row r="615" spans="1:26" ht="12.75">
      <c r="A615" s="16"/>
      <c r="C615" s="56"/>
      <c r="D615" s="57"/>
      <c r="E615" s="57"/>
      <c r="F615" s="57"/>
      <c r="G615" s="57"/>
      <c r="J615" s="48"/>
      <c r="S615" s="48"/>
      <c r="T615" s="48"/>
      <c r="U615" s="53"/>
      <c r="W615" s="53"/>
      <c r="X615" s="53"/>
      <c r="Y615" s="53"/>
      <c r="Z615" s="53"/>
    </row>
    <row r="616" spans="1:26" ht="12.75">
      <c r="A616" s="16"/>
      <c r="C616" s="56"/>
      <c r="D616" s="57"/>
      <c r="E616" s="57"/>
      <c r="F616" s="57"/>
      <c r="G616" s="57"/>
      <c r="J616" s="48"/>
      <c r="S616" s="48"/>
      <c r="T616" s="48"/>
      <c r="U616" s="53"/>
      <c r="W616" s="53"/>
      <c r="X616" s="53"/>
      <c r="Y616" s="53"/>
      <c r="Z616" s="53"/>
    </row>
    <row r="617" spans="1:26" ht="12.75">
      <c r="A617" s="16"/>
      <c r="C617" s="56"/>
      <c r="D617" s="57"/>
      <c r="E617" s="57"/>
      <c r="F617" s="57"/>
      <c r="G617" s="57"/>
      <c r="J617" s="48"/>
      <c r="S617" s="48"/>
      <c r="T617" s="48"/>
      <c r="U617" s="53"/>
      <c r="W617" s="53"/>
      <c r="X617" s="53"/>
      <c r="Y617" s="53"/>
      <c r="Z617" s="53"/>
    </row>
    <row r="618" spans="1:26" ht="12.75">
      <c r="A618" s="16"/>
      <c r="C618" s="56"/>
      <c r="D618" s="57"/>
      <c r="E618" s="57"/>
      <c r="F618" s="57"/>
      <c r="G618" s="57"/>
      <c r="J618" s="48"/>
      <c r="S618" s="48"/>
      <c r="T618" s="48"/>
      <c r="U618" s="53"/>
      <c r="W618" s="53"/>
      <c r="X618" s="53"/>
      <c r="Y618" s="53"/>
      <c r="Z618" s="53"/>
    </row>
    <row r="619" spans="1:26" ht="12.75">
      <c r="A619" s="16"/>
      <c r="C619" s="56"/>
      <c r="D619" s="57"/>
      <c r="E619" s="57"/>
      <c r="F619" s="57"/>
      <c r="G619" s="57"/>
      <c r="J619" s="48"/>
      <c r="S619" s="48"/>
      <c r="T619" s="48"/>
      <c r="U619" s="53"/>
      <c r="W619" s="53"/>
      <c r="X619" s="53"/>
      <c r="Y619" s="53"/>
      <c r="Z619" s="53"/>
    </row>
    <row r="620" spans="1:26" ht="12.75">
      <c r="A620" s="16"/>
      <c r="C620" s="56"/>
      <c r="D620" s="57"/>
      <c r="E620" s="57"/>
      <c r="F620" s="57"/>
      <c r="G620" s="57"/>
      <c r="J620" s="48"/>
      <c r="S620" s="48"/>
      <c r="T620" s="48"/>
      <c r="U620" s="53"/>
      <c r="W620" s="53"/>
      <c r="X620" s="53"/>
      <c r="Y620" s="53"/>
      <c r="Z620" s="53"/>
    </row>
    <row r="621" spans="1:26" ht="12.75">
      <c r="A621" s="16"/>
      <c r="C621" s="56"/>
      <c r="D621" s="57"/>
      <c r="E621" s="57"/>
      <c r="F621" s="57"/>
      <c r="G621" s="57"/>
      <c r="J621" s="48"/>
      <c r="S621" s="48"/>
      <c r="T621" s="48"/>
      <c r="U621" s="53"/>
      <c r="W621" s="53"/>
      <c r="X621" s="53"/>
      <c r="Y621" s="53"/>
      <c r="Z621" s="53"/>
    </row>
    <row r="622" spans="1:26" ht="12.75">
      <c r="A622" s="16"/>
      <c r="C622" s="56"/>
      <c r="D622" s="57"/>
      <c r="E622" s="57"/>
      <c r="F622" s="57"/>
      <c r="G622" s="57"/>
      <c r="J622" s="48"/>
      <c r="S622" s="48"/>
      <c r="T622" s="48"/>
      <c r="U622" s="53"/>
      <c r="W622" s="53"/>
      <c r="X622" s="53"/>
      <c r="Y622" s="53"/>
      <c r="Z622" s="53"/>
    </row>
    <row r="623" spans="1:26" ht="12.75">
      <c r="A623" s="16"/>
      <c r="C623" s="56"/>
      <c r="D623" s="57"/>
      <c r="E623" s="57"/>
      <c r="F623" s="57"/>
      <c r="G623" s="57"/>
      <c r="J623" s="48"/>
      <c r="S623" s="48"/>
      <c r="T623" s="48"/>
      <c r="U623" s="53"/>
      <c r="W623" s="53"/>
      <c r="X623" s="53"/>
      <c r="Y623" s="53"/>
      <c r="Z623" s="53"/>
    </row>
    <row r="624" spans="1:26" ht="12.75">
      <c r="A624" s="16"/>
      <c r="C624" s="56"/>
      <c r="D624" s="57"/>
      <c r="E624" s="57"/>
      <c r="F624" s="57"/>
      <c r="G624" s="57"/>
      <c r="J624" s="48"/>
      <c r="S624" s="48"/>
      <c r="T624" s="48"/>
      <c r="U624" s="53"/>
      <c r="W624" s="53"/>
      <c r="X624" s="53"/>
      <c r="Y624" s="53"/>
      <c r="Z624" s="53"/>
    </row>
    <row r="625" spans="1:26" ht="12.75">
      <c r="A625" s="16"/>
      <c r="C625" s="56"/>
      <c r="D625" s="57"/>
      <c r="E625" s="57"/>
      <c r="F625" s="57"/>
      <c r="G625" s="57"/>
      <c r="J625" s="48"/>
      <c r="S625" s="48"/>
      <c r="T625" s="48"/>
      <c r="U625" s="53"/>
      <c r="W625" s="53"/>
      <c r="X625" s="53"/>
      <c r="Y625" s="53"/>
      <c r="Z625" s="53"/>
    </row>
    <row r="626" spans="1:26" ht="12.75">
      <c r="A626" s="16"/>
      <c r="C626" s="56"/>
      <c r="D626" s="57"/>
      <c r="E626" s="57"/>
      <c r="F626" s="57"/>
      <c r="G626" s="57"/>
      <c r="J626" s="48"/>
      <c r="S626" s="48"/>
      <c r="T626" s="48"/>
      <c r="U626" s="53"/>
      <c r="W626" s="53"/>
      <c r="X626" s="53"/>
      <c r="Y626" s="53"/>
      <c r="Z626" s="53"/>
    </row>
    <row r="627" spans="1:26" ht="12.75">
      <c r="A627" s="16"/>
      <c r="C627" s="56"/>
      <c r="D627" s="57"/>
      <c r="E627" s="57"/>
      <c r="F627" s="57"/>
      <c r="G627" s="57"/>
      <c r="J627" s="48"/>
      <c r="S627" s="48"/>
      <c r="T627" s="48"/>
      <c r="U627" s="53"/>
      <c r="W627" s="53"/>
      <c r="X627" s="53"/>
      <c r="Y627" s="53"/>
      <c r="Z627" s="53"/>
    </row>
    <row r="628" spans="1:26" ht="12.75">
      <c r="A628" s="16"/>
      <c r="C628" s="56"/>
      <c r="D628" s="57"/>
      <c r="E628" s="57"/>
      <c r="F628" s="57"/>
      <c r="G628" s="57"/>
      <c r="J628" s="48"/>
      <c r="S628" s="48"/>
      <c r="T628" s="48"/>
      <c r="U628" s="53"/>
      <c r="W628" s="53"/>
      <c r="X628" s="53"/>
      <c r="Y628" s="53"/>
      <c r="Z628" s="53"/>
    </row>
    <row r="629" spans="1:26" ht="12.75">
      <c r="A629" s="16"/>
      <c r="C629" s="56"/>
      <c r="D629" s="57"/>
      <c r="E629" s="57"/>
      <c r="F629" s="57"/>
      <c r="G629" s="57"/>
      <c r="J629" s="48"/>
      <c r="S629" s="48"/>
      <c r="T629" s="48"/>
      <c r="U629" s="53"/>
      <c r="W629" s="53"/>
      <c r="X629" s="53"/>
      <c r="Y629" s="53"/>
      <c r="Z629" s="53"/>
    </row>
    <row r="630" spans="1:26" ht="12.75">
      <c r="A630" s="16"/>
      <c r="C630" s="56"/>
      <c r="D630" s="57"/>
      <c r="E630" s="57"/>
      <c r="F630" s="57"/>
      <c r="G630" s="57"/>
      <c r="J630" s="48"/>
      <c r="S630" s="48"/>
      <c r="T630" s="48"/>
      <c r="U630" s="53"/>
      <c r="W630" s="53"/>
      <c r="X630" s="53"/>
      <c r="Y630" s="53"/>
      <c r="Z630" s="53"/>
    </row>
    <row r="631" spans="1:26" ht="12.75">
      <c r="A631" s="16"/>
      <c r="C631" s="56"/>
      <c r="D631" s="57"/>
      <c r="E631" s="57"/>
      <c r="F631" s="57"/>
      <c r="G631" s="57"/>
      <c r="J631" s="48"/>
      <c r="S631" s="48"/>
      <c r="T631" s="48"/>
      <c r="U631" s="53"/>
      <c r="W631" s="53"/>
      <c r="X631" s="53"/>
      <c r="Y631" s="53"/>
      <c r="Z631" s="53"/>
    </row>
    <row r="632" spans="1:26" ht="12.75">
      <c r="A632" s="16"/>
      <c r="C632" s="56"/>
      <c r="D632" s="57"/>
      <c r="E632" s="57"/>
      <c r="F632" s="57"/>
      <c r="G632" s="57"/>
      <c r="J632" s="48"/>
      <c r="S632" s="48"/>
      <c r="T632" s="48"/>
      <c r="U632" s="53"/>
      <c r="W632" s="53"/>
      <c r="X632" s="53"/>
      <c r="Y632" s="53"/>
      <c r="Z632" s="53"/>
    </row>
    <row r="633" spans="1:26" ht="12.75">
      <c r="A633" s="16"/>
      <c r="C633" s="56"/>
      <c r="D633" s="57"/>
      <c r="E633" s="57"/>
      <c r="F633" s="57"/>
      <c r="G633" s="57"/>
      <c r="J633" s="48"/>
      <c r="S633" s="48"/>
      <c r="T633" s="48"/>
      <c r="U633" s="53"/>
      <c r="W633" s="53"/>
      <c r="X633" s="53"/>
      <c r="Y633" s="53"/>
      <c r="Z633" s="53"/>
    </row>
    <row r="634" spans="1:26" ht="12.75">
      <c r="A634" s="16"/>
      <c r="C634" s="56"/>
      <c r="D634" s="57"/>
      <c r="E634" s="57"/>
      <c r="F634" s="57"/>
      <c r="G634" s="57"/>
      <c r="J634" s="48"/>
      <c r="S634" s="48"/>
      <c r="T634" s="48"/>
      <c r="U634" s="53"/>
      <c r="W634" s="53"/>
      <c r="X634" s="53"/>
      <c r="Y634" s="53"/>
      <c r="Z634" s="53"/>
    </row>
    <row r="635" spans="1:26" ht="12.75">
      <c r="A635" s="16"/>
      <c r="C635" s="56"/>
      <c r="D635" s="57"/>
      <c r="E635" s="57"/>
      <c r="F635" s="57"/>
      <c r="G635" s="57"/>
      <c r="J635" s="48"/>
      <c r="S635" s="48"/>
      <c r="T635" s="48"/>
      <c r="U635" s="53"/>
      <c r="W635" s="53"/>
      <c r="X635" s="53"/>
      <c r="Y635" s="53"/>
      <c r="Z635" s="53"/>
    </row>
    <row r="636" spans="1:26" ht="12.75">
      <c r="A636" s="16"/>
      <c r="C636" s="56"/>
      <c r="D636" s="57"/>
      <c r="E636" s="57"/>
      <c r="F636" s="57"/>
      <c r="G636" s="57"/>
      <c r="J636" s="48"/>
      <c r="S636" s="48"/>
      <c r="T636" s="48"/>
      <c r="U636" s="53"/>
      <c r="W636" s="53"/>
      <c r="X636" s="53"/>
      <c r="Y636" s="53"/>
      <c r="Z636" s="53"/>
    </row>
    <row r="637" spans="1:26" ht="12.75">
      <c r="A637" s="16"/>
      <c r="C637" s="56"/>
      <c r="D637" s="57"/>
      <c r="E637" s="57"/>
      <c r="F637" s="57"/>
      <c r="G637" s="57"/>
      <c r="J637" s="48"/>
      <c r="S637" s="48"/>
      <c r="T637" s="48"/>
      <c r="U637" s="53"/>
      <c r="W637" s="53"/>
      <c r="X637" s="53"/>
      <c r="Y637" s="53"/>
      <c r="Z637" s="53"/>
    </row>
    <row r="638" spans="1:26" ht="12.75">
      <c r="A638" s="16"/>
      <c r="C638" s="56"/>
      <c r="D638" s="57"/>
      <c r="E638" s="57"/>
      <c r="F638" s="57"/>
      <c r="G638" s="57"/>
      <c r="J638" s="48"/>
      <c r="S638" s="48"/>
      <c r="T638" s="48"/>
      <c r="U638" s="53"/>
      <c r="W638" s="53"/>
      <c r="X638" s="53"/>
      <c r="Y638" s="53"/>
      <c r="Z638" s="53"/>
    </row>
    <row r="639" spans="1:26" ht="12.75">
      <c r="A639" s="16"/>
      <c r="C639" s="56"/>
      <c r="D639" s="57"/>
      <c r="E639" s="57"/>
      <c r="F639" s="57"/>
      <c r="G639" s="57"/>
      <c r="J639" s="48"/>
      <c r="S639" s="48"/>
      <c r="T639" s="48"/>
      <c r="U639" s="53"/>
      <c r="W639" s="53"/>
      <c r="X639" s="53"/>
      <c r="Y639" s="53"/>
      <c r="Z639" s="53"/>
    </row>
    <row r="640" spans="1:26" ht="12.75">
      <c r="A640" s="16"/>
      <c r="C640" s="56"/>
      <c r="D640" s="57"/>
      <c r="E640" s="57"/>
      <c r="F640" s="57"/>
      <c r="G640" s="57"/>
      <c r="J640" s="48"/>
      <c r="S640" s="48"/>
      <c r="T640" s="48"/>
      <c r="U640" s="53"/>
      <c r="W640" s="53"/>
      <c r="X640" s="53"/>
      <c r="Y640" s="53"/>
      <c r="Z640" s="53"/>
    </row>
    <row r="641" spans="1:26" ht="12.75">
      <c r="A641" s="16"/>
      <c r="C641" s="56"/>
      <c r="D641" s="57"/>
      <c r="E641" s="57"/>
      <c r="F641" s="57"/>
      <c r="G641" s="57"/>
      <c r="J641" s="48"/>
      <c r="S641" s="48"/>
      <c r="T641" s="48"/>
      <c r="U641" s="53"/>
      <c r="W641" s="53"/>
      <c r="X641" s="53"/>
      <c r="Y641" s="53"/>
      <c r="Z641" s="53"/>
    </row>
    <row r="642" spans="1:26" ht="12.75">
      <c r="A642" s="16"/>
      <c r="C642" s="56"/>
      <c r="D642" s="57"/>
      <c r="E642" s="57"/>
      <c r="F642" s="57"/>
      <c r="G642" s="57"/>
      <c r="J642" s="48"/>
      <c r="S642" s="48"/>
      <c r="T642" s="48"/>
      <c r="U642" s="53"/>
      <c r="W642" s="53"/>
      <c r="X642" s="53"/>
      <c r="Y642" s="53"/>
      <c r="Z642" s="53"/>
    </row>
    <row r="643" spans="1:26" ht="12.75">
      <c r="A643" s="16"/>
      <c r="C643" s="56"/>
      <c r="D643" s="57"/>
      <c r="E643" s="57"/>
      <c r="F643" s="57"/>
      <c r="G643" s="57"/>
      <c r="J643" s="48"/>
      <c r="S643" s="48"/>
      <c r="T643" s="48"/>
      <c r="U643" s="53"/>
      <c r="W643" s="53"/>
      <c r="X643" s="53"/>
      <c r="Y643" s="53"/>
      <c r="Z643" s="53"/>
    </row>
    <row r="644" spans="1:26" ht="12.75">
      <c r="A644" s="16"/>
      <c r="C644" s="56"/>
      <c r="D644" s="57"/>
      <c r="E644" s="57"/>
      <c r="F644" s="57"/>
      <c r="G644" s="57"/>
      <c r="J644" s="48"/>
      <c r="S644" s="48"/>
      <c r="T644" s="48"/>
      <c r="U644" s="53"/>
      <c r="W644" s="53"/>
      <c r="X644" s="53"/>
      <c r="Y644" s="53"/>
      <c r="Z644" s="53"/>
    </row>
    <row r="645" spans="1:26" ht="12.75">
      <c r="A645" s="16"/>
      <c r="C645" s="56"/>
      <c r="D645" s="57"/>
      <c r="E645" s="57"/>
      <c r="F645" s="57"/>
      <c r="G645" s="57"/>
      <c r="J645" s="48"/>
      <c r="S645" s="48"/>
      <c r="T645" s="48"/>
      <c r="U645" s="53"/>
      <c r="W645" s="53"/>
      <c r="X645" s="53"/>
      <c r="Y645" s="53"/>
      <c r="Z645" s="53"/>
    </row>
    <row r="646" spans="1:26" ht="12.75">
      <c r="A646" s="16"/>
      <c r="C646" s="56"/>
      <c r="D646" s="57"/>
      <c r="E646" s="57"/>
      <c r="F646" s="57"/>
      <c r="G646" s="57"/>
      <c r="J646" s="48"/>
      <c r="S646" s="48"/>
      <c r="T646" s="48"/>
      <c r="U646" s="53"/>
      <c r="W646" s="53"/>
      <c r="X646" s="53"/>
      <c r="Y646" s="53"/>
      <c r="Z646" s="53"/>
    </row>
    <row r="647" spans="1:26" ht="12.75">
      <c r="A647" s="16"/>
      <c r="C647" s="56"/>
      <c r="D647" s="57"/>
      <c r="E647" s="57"/>
      <c r="F647" s="57"/>
      <c r="G647" s="57"/>
      <c r="J647" s="48"/>
      <c r="S647" s="48"/>
      <c r="T647" s="48"/>
      <c r="U647" s="53"/>
      <c r="W647" s="53"/>
      <c r="X647" s="53"/>
      <c r="Y647" s="53"/>
      <c r="Z647" s="53"/>
    </row>
    <row r="648" spans="1:26" ht="12.75">
      <c r="A648" s="16"/>
      <c r="C648" s="56"/>
      <c r="D648" s="57"/>
      <c r="E648" s="57"/>
      <c r="F648" s="57"/>
      <c r="G648" s="57"/>
      <c r="J648" s="48"/>
      <c r="S648" s="48"/>
      <c r="T648" s="48"/>
      <c r="U648" s="53"/>
      <c r="W648" s="53"/>
      <c r="X648" s="53"/>
      <c r="Y648" s="53"/>
      <c r="Z648" s="53"/>
    </row>
    <row r="649" spans="1:26" ht="12.75">
      <c r="A649" s="16"/>
      <c r="C649" s="56"/>
      <c r="D649" s="57"/>
      <c r="E649" s="57"/>
      <c r="F649" s="57"/>
      <c r="G649" s="57"/>
      <c r="J649" s="48"/>
      <c r="S649" s="48"/>
      <c r="T649" s="48"/>
      <c r="U649" s="53"/>
      <c r="W649" s="53"/>
      <c r="X649" s="53"/>
      <c r="Y649" s="53"/>
      <c r="Z649" s="53"/>
    </row>
    <row r="650" spans="1:26" ht="12.75">
      <c r="A650" s="16"/>
      <c r="C650" s="56"/>
      <c r="D650" s="57"/>
      <c r="E650" s="57"/>
      <c r="F650" s="57"/>
      <c r="G650" s="57"/>
      <c r="J650" s="48"/>
      <c r="S650" s="48"/>
      <c r="T650" s="48"/>
      <c r="U650" s="53"/>
      <c r="W650" s="53"/>
      <c r="X650" s="53"/>
      <c r="Y650" s="53"/>
      <c r="Z650" s="53"/>
    </row>
    <row r="651" spans="1:26" ht="12.75">
      <c r="A651" s="16"/>
      <c r="C651" s="56"/>
      <c r="D651" s="57"/>
      <c r="E651" s="57"/>
      <c r="F651" s="57"/>
      <c r="G651" s="57"/>
      <c r="J651" s="48"/>
      <c r="S651" s="48"/>
      <c r="T651" s="48"/>
      <c r="U651" s="53"/>
      <c r="W651" s="53"/>
      <c r="X651" s="53"/>
      <c r="Y651" s="53"/>
      <c r="Z651" s="53"/>
    </row>
    <row r="652" spans="1:26" ht="12.75">
      <c r="A652" s="16"/>
      <c r="C652" s="56"/>
      <c r="D652" s="57"/>
      <c r="E652" s="57"/>
      <c r="F652" s="57"/>
      <c r="G652" s="57"/>
      <c r="J652" s="48"/>
      <c r="S652" s="48"/>
      <c r="T652" s="48"/>
      <c r="U652" s="53"/>
      <c r="W652" s="53"/>
      <c r="X652" s="53"/>
      <c r="Y652" s="53"/>
      <c r="Z652" s="53"/>
    </row>
    <row r="653" spans="1:26" ht="12.75">
      <c r="A653" s="16"/>
      <c r="C653" s="56"/>
      <c r="D653" s="57"/>
      <c r="E653" s="57"/>
      <c r="F653" s="57"/>
      <c r="G653" s="57"/>
      <c r="J653" s="48"/>
      <c r="S653" s="48"/>
      <c r="T653" s="48"/>
      <c r="U653" s="53"/>
      <c r="W653" s="53"/>
      <c r="X653" s="53"/>
      <c r="Y653" s="53"/>
      <c r="Z653" s="53"/>
    </row>
    <row r="654" spans="1:26" ht="12.75">
      <c r="A654" s="16"/>
      <c r="C654" s="56"/>
      <c r="D654" s="57"/>
      <c r="E654" s="57"/>
      <c r="F654" s="57"/>
      <c r="G654" s="57"/>
      <c r="J654" s="48"/>
      <c r="S654" s="48"/>
      <c r="T654" s="48"/>
      <c r="U654" s="53"/>
      <c r="W654" s="53"/>
      <c r="X654" s="53"/>
      <c r="Y654" s="53"/>
      <c r="Z654" s="53"/>
    </row>
    <row r="655" spans="1:26" ht="12.75">
      <c r="A655" s="16"/>
      <c r="C655" s="56"/>
      <c r="D655" s="57"/>
      <c r="E655" s="57"/>
      <c r="F655" s="57"/>
      <c r="G655" s="57"/>
      <c r="J655" s="48"/>
      <c r="S655" s="48"/>
      <c r="T655" s="48"/>
      <c r="U655" s="53"/>
      <c r="W655" s="53"/>
      <c r="X655" s="53"/>
      <c r="Y655" s="53"/>
      <c r="Z655" s="53"/>
    </row>
    <row r="656" spans="1:26" ht="12.75">
      <c r="A656" s="16"/>
      <c r="C656" s="56"/>
      <c r="D656" s="57"/>
      <c r="E656" s="57"/>
      <c r="F656" s="57"/>
      <c r="G656" s="57"/>
      <c r="J656" s="48"/>
      <c r="S656" s="48"/>
      <c r="T656" s="48"/>
      <c r="U656" s="53"/>
      <c r="W656" s="53"/>
      <c r="X656" s="53"/>
      <c r="Y656" s="53"/>
      <c r="Z656" s="53"/>
    </row>
    <row r="657" spans="1:26" ht="12.75">
      <c r="A657" s="16"/>
      <c r="C657" s="56"/>
      <c r="D657" s="57"/>
      <c r="E657" s="57"/>
      <c r="F657" s="57"/>
      <c r="G657" s="57"/>
      <c r="J657" s="48"/>
      <c r="S657" s="48"/>
      <c r="T657" s="48"/>
      <c r="U657" s="53"/>
      <c r="W657" s="53"/>
      <c r="X657" s="53"/>
      <c r="Y657" s="53"/>
      <c r="Z657" s="53"/>
    </row>
    <row r="658" spans="1:26" ht="12.75">
      <c r="A658" s="16"/>
      <c r="C658" s="56"/>
      <c r="D658" s="57"/>
      <c r="E658" s="57"/>
      <c r="F658" s="57"/>
      <c r="G658" s="57"/>
      <c r="J658" s="48"/>
      <c r="S658" s="48"/>
      <c r="T658" s="48"/>
      <c r="U658" s="53"/>
      <c r="W658" s="53"/>
      <c r="X658" s="53"/>
      <c r="Y658" s="53"/>
      <c r="Z658" s="53"/>
    </row>
    <row r="659" spans="1:26" ht="12.75">
      <c r="A659" s="16"/>
      <c r="C659" s="56"/>
      <c r="D659" s="57"/>
      <c r="E659" s="57"/>
      <c r="F659" s="57"/>
      <c r="G659" s="57"/>
      <c r="J659" s="48"/>
      <c r="S659" s="48"/>
      <c r="T659" s="48"/>
      <c r="U659" s="53"/>
      <c r="W659" s="53"/>
      <c r="X659" s="53"/>
      <c r="Y659" s="53"/>
      <c r="Z659" s="53"/>
    </row>
    <row r="660" spans="1:26" ht="12.75">
      <c r="A660" s="16"/>
      <c r="C660" s="56"/>
      <c r="D660" s="57"/>
      <c r="E660" s="57"/>
      <c r="F660" s="57"/>
      <c r="G660" s="57"/>
      <c r="J660" s="48"/>
      <c r="S660" s="48"/>
      <c r="T660" s="48"/>
      <c r="U660" s="53"/>
      <c r="W660" s="53"/>
      <c r="X660" s="53"/>
      <c r="Y660" s="53"/>
      <c r="Z660" s="53"/>
    </row>
    <row r="661" spans="1:26" ht="12.75">
      <c r="A661" s="16"/>
      <c r="C661" s="56"/>
      <c r="D661" s="57"/>
      <c r="E661" s="57"/>
      <c r="F661" s="57"/>
      <c r="G661" s="57"/>
      <c r="J661" s="48"/>
      <c r="S661" s="48"/>
      <c r="T661" s="48"/>
      <c r="U661" s="53"/>
      <c r="W661" s="53"/>
      <c r="X661" s="53"/>
      <c r="Y661" s="53"/>
      <c r="Z661" s="53"/>
    </row>
    <row r="662" spans="1:26" ht="12.75">
      <c r="A662" s="16"/>
      <c r="C662" s="56"/>
      <c r="D662" s="57"/>
      <c r="E662" s="57"/>
      <c r="F662" s="57"/>
      <c r="G662" s="57"/>
      <c r="J662" s="48"/>
      <c r="S662" s="48"/>
      <c r="T662" s="48"/>
      <c r="U662" s="53"/>
      <c r="W662" s="53"/>
      <c r="X662" s="53"/>
      <c r="Y662" s="53"/>
      <c r="Z662" s="53"/>
    </row>
    <row r="663" spans="1:26" ht="12.75">
      <c r="A663" s="16"/>
      <c r="C663" s="56"/>
      <c r="D663" s="57"/>
      <c r="E663" s="57"/>
      <c r="F663" s="57"/>
      <c r="G663" s="57"/>
      <c r="J663" s="48"/>
      <c r="S663" s="48"/>
      <c r="T663" s="48"/>
      <c r="U663" s="53"/>
      <c r="W663" s="53"/>
      <c r="X663" s="53"/>
      <c r="Y663" s="53"/>
      <c r="Z663" s="53"/>
    </row>
    <row r="664" spans="1:26" ht="12.75">
      <c r="A664" s="16"/>
      <c r="C664" s="56"/>
      <c r="D664" s="57"/>
      <c r="E664" s="57"/>
      <c r="F664" s="57"/>
      <c r="G664" s="57"/>
      <c r="J664" s="48"/>
      <c r="S664" s="48"/>
      <c r="T664" s="48"/>
      <c r="U664" s="53"/>
      <c r="W664" s="53"/>
      <c r="X664" s="53"/>
      <c r="Y664" s="53"/>
      <c r="Z664" s="53"/>
    </row>
    <row r="665" spans="1:26" ht="12.75">
      <c r="A665" s="16"/>
      <c r="C665" s="56"/>
      <c r="D665" s="57"/>
      <c r="E665" s="57"/>
      <c r="F665" s="57"/>
      <c r="G665" s="57"/>
      <c r="J665" s="48"/>
      <c r="S665" s="48"/>
      <c r="T665" s="48"/>
      <c r="U665" s="53"/>
      <c r="W665" s="53"/>
      <c r="X665" s="53"/>
      <c r="Y665" s="53"/>
      <c r="Z665" s="53"/>
    </row>
    <row r="666" spans="1:26" ht="12.75">
      <c r="A666" s="16"/>
      <c r="C666" s="56"/>
      <c r="D666" s="57"/>
      <c r="E666" s="57"/>
      <c r="F666" s="57"/>
      <c r="G666" s="57"/>
      <c r="J666" s="48"/>
      <c r="S666" s="48"/>
      <c r="T666" s="48"/>
      <c r="U666" s="53"/>
      <c r="W666" s="53"/>
      <c r="X666" s="53"/>
      <c r="Y666" s="53"/>
      <c r="Z666" s="53"/>
    </row>
    <row r="667" spans="1:26" ht="12.75">
      <c r="A667" s="16"/>
      <c r="C667" s="56"/>
      <c r="D667" s="57"/>
      <c r="E667" s="57"/>
      <c r="F667" s="57"/>
      <c r="G667" s="57"/>
      <c r="J667" s="48"/>
      <c r="S667" s="48"/>
      <c r="T667" s="48"/>
      <c r="U667" s="53"/>
      <c r="W667" s="53"/>
      <c r="X667" s="53"/>
      <c r="Y667" s="53"/>
      <c r="Z667" s="53"/>
    </row>
    <row r="668" spans="1:26" ht="12.75">
      <c r="A668" s="16"/>
      <c r="C668" s="56"/>
      <c r="D668" s="57"/>
      <c r="E668" s="57"/>
      <c r="F668" s="57"/>
      <c r="G668" s="57"/>
      <c r="J668" s="48"/>
      <c r="S668" s="48"/>
      <c r="T668" s="48"/>
      <c r="U668" s="53"/>
      <c r="W668" s="53"/>
      <c r="X668" s="53"/>
      <c r="Y668" s="53"/>
      <c r="Z668" s="53"/>
    </row>
    <row r="669" spans="1:26" ht="12.75">
      <c r="A669" s="16"/>
      <c r="C669" s="56"/>
      <c r="D669" s="57"/>
      <c r="E669" s="57"/>
      <c r="F669" s="57"/>
      <c r="G669" s="57"/>
      <c r="J669" s="48"/>
      <c r="S669" s="48"/>
      <c r="T669" s="48"/>
      <c r="U669" s="53"/>
      <c r="W669" s="53"/>
      <c r="X669" s="53"/>
      <c r="Y669" s="53"/>
      <c r="Z669" s="53"/>
    </row>
    <row r="670" spans="1:26" ht="12.75">
      <c r="A670" s="16"/>
      <c r="C670" s="56"/>
      <c r="D670" s="57"/>
      <c r="E670" s="57"/>
      <c r="F670" s="57"/>
      <c r="G670" s="57"/>
      <c r="J670" s="48"/>
      <c r="S670" s="48"/>
      <c r="T670" s="48"/>
      <c r="U670" s="53"/>
      <c r="W670" s="53"/>
      <c r="X670" s="53"/>
      <c r="Y670" s="53"/>
      <c r="Z670" s="53"/>
    </row>
    <row r="671" spans="1:26" ht="12.75">
      <c r="A671" s="16"/>
      <c r="C671" s="56"/>
      <c r="D671" s="57"/>
      <c r="E671" s="57"/>
      <c r="F671" s="57"/>
      <c r="G671" s="57"/>
      <c r="J671" s="48"/>
      <c r="S671" s="48"/>
      <c r="T671" s="48"/>
      <c r="U671" s="53"/>
      <c r="W671" s="53"/>
      <c r="X671" s="53"/>
      <c r="Y671" s="53"/>
      <c r="Z671" s="53"/>
    </row>
    <row r="672" spans="1:26" ht="12.75">
      <c r="A672" s="16"/>
      <c r="C672" s="56"/>
      <c r="D672" s="57"/>
      <c r="E672" s="57"/>
      <c r="F672" s="57"/>
      <c r="G672" s="57"/>
      <c r="J672" s="48"/>
      <c r="S672" s="48"/>
      <c r="T672" s="48"/>
      <c r="U672" s="53"/>
      <c r="W672" s="53"/>
      <c r="X672" s="53"/>
      <c r="Y672" s="53"/>
      <c r="Z672" s="53"/>
    </row>
    <row r="673" spans="1:26" ht="12.75">
      <c r="A673" s="16"/>
      <c r="C673" s="56"/>
      <c r="D673" s="57"/>
      <c r="E673" s="57"/>
      <c r="F673" s="57"/>
      <c r="G673" s="57"/>
      <c r="J673" s="48"/>
      <c r="S673" s="48"/>
      <c r="T673" s="48"/>
      <c r="U673" s="53"/>
      <c r="W673" s="53"/>
      <c r="X673" s="53"/>
      <c r="Y673" s="53"/>
      <c r="Z673" s="53"/>
    </row>
    <row r="674" spans="1:26" ht="12.75">
      <c r="A674" s="16"/>
      <c r="C674" s="56"/>
      <c r="D674" s="57"/>
      <c r="E674" s="57"/>
      <c r="F674" s="57"/>
      <c r="G674" s="57"/>
      <c r="J674" s="48"/>
      <c r="S674" s="48"/>
      <c r="T674" s="48"/>
      <c r="U674" s="53"/>
      <c r="W674" s="53"/>
      <c r="X674" s="53"/>
      <c r="Y674" s="53"/>
      <c r="Z674" s="53"/>
    </row>
    <row r="675" spans="1:26" ht="12.75">
      <c r="A675" s="16"/>
      <c r="C675" s="56"/>
      <c r="D675" s="57"/>
      <c r="E675" s="57"/>
      <c r="F675" s="57"/>
      <c r="G675" s="57"/>
      <c r="J675" s="48"/>
      <c r="S675" s="48"/>
      <c r="T675" s="48"/>
      <c r="U675" s="53"/>
      <c r="W675" s="53"/>
      <c r="X675" s="53"/>
      <c r="Y675" s="53"/>
      <c r="Z675" s="53"/>
    </row>
    <row r="676" spans="1:26" ht="12.75">
      <c r="A676" s="16"/>
      <c r="C676" s="56"/>
      <c r="D676" s="57"/>
      <c r="E676" s="57"/>
      <c r="F676" s="57"/>
      <c r="G676" s="57"/>
      <c r="J676" s="48"/>
      <c r="S676" s="48"/>
      <c r="T676" s="48"/>
      <c r="U676" s="53"/>
      <c r="W676" s="53"/>
      <c r="X676" s="53"/>
      <c r="Y676" s="53"/>
      <c r="Z676" s="53"/>
    </row>
    <row r="677" spans="1:26" ht="12.75">
      <c r="A677" s="16"/>
      <c r="C677" s="56"/>
      <c r="D677" s="57"/>
      <c r="E677" s="57"/>
      <c r="F677" s="57"/>
      <c r="G677" s="57"/>
      <c r="J677" s="48"/>
      <c r="S677" s="48"/>
      <c r="T677" s="48"/>
      <c r="U677" s="53"/>
      <c r="W677" s="53"/>
      <c r="X677" s="53"/>
      <c r="Y677" s="53"/>
      <c r="Z677" s="53"/>
    </row>
    <row r="678" spans="1:26" ht="12.75">
      <c r="A678" s="16"/>
      <c r="C678" s="56"/>
      <c r="D678" s="57"/>
      <c r="E678" s="57"/>
      <c r="F678" s="57"/>
      <c r="G678" s="57"/>
      <c r="J678" s="48"/>
      <c r="S678" s="48"/>
      <c r="T678" s="48"/>
      <c r="U678" s="53"/>
      <c r="W678" s="53"/>
      <c r="X678" s="53"/>
      <c r="Y678" s="53"/>
      <c r="Z678" s="53"/>
    </row>
    <row r="679" spans="1:26" ht="12.75">
      <c r="A679" s="16"/>
      <c r="C679" s="56"/>
      <c r="D679" s="57"/>
      <c r="E679" s="57"/>
      <c r="F679" s="57"/>
      <c r="G679" s="57"/>
      <c r="J679" s="48"/>
      <c r="S679" s="48"/>
      <c r="T679" s="48"/>
      <c r="U679" s="53"/>
      <c r="W679" s="53"/>
      <c r="X679" s="53"/>
      <c r="Y679" s="53"/>
      <c r="Z679" s="53"/>
    </row>
    <row r="680" spans="1:26" ht="12.75">
      <c r="A680" s="16"/>
      <c r="C680" s="56"/>
      <c r="D680" s="57"/>
      <c r="E680" s="57"/>
      <c r="F680" s="57"/>
      <c r="G680" s="57"/>
      <c r="J680" s="48"/>
      <c r="S680" s="48"/>
      <c r="T680" s="48"/>
      <c r="U680" s="53"/>
      <c r="W680" s="53"/>
      <c r="X680" s="53"/>
      <c r="Y680" s="53"/>
      <c r="Z680" s="53"/>
    </row>
    <row r="681" spans="1:26" ht="12.75">
      <c r="A681" s="16"/>
      <c r="C681" s="56"/>
      <c r="D681" s="57"/>
      <c r="E681" s="57"/>
      <c r="F681" s="57"/>
      <c r="G681" s="57"/>
      <c r="J681" s="48"/>
      <c r="S681" s="48"/>
      <c r="T681" s="48"/>
      <c r="U681" s="53"/>
      <c r="W681" s="53"/>
      <c r="X681" s="53"/>
      <c r="Y681" s="53"/>
      <c r="Z681" s="53"/>
    </row>
    <row r="682" spans="1:26" ht="12.75">
      <c r="A682" s="16"/>
      <c r="C682" s="56"/>
      <c r="D682" s="57"/>
      <c r="E682" s="57"/>
      <c r="F682" s="57"/>
      <c r="G682" s="57"/>
      <c r="J682" s="48"/>
      <c r="S682" s="48"/>
      <c r="T682" s="48"/>
      <c r="U682" s="53"/>
      <c r="W682" s="53"/>
      <c r="X682" s="53"/>
      <c r="Y682" s="53"/>
      <c r="Z682" s="53"/>
    </row>
    <row r="683" spans="1:26" ht="12.75">
      <c r="A683" s="16"/>
      <c r="C683" s="56"/>
      <c r="D683" s="57"/>
      <c r="E683" s="57"/>
      <c r="F683" s="57"/>
      <c r="G683" s="57"/>
      <c r="J683" s="48"/>
      <c r="S683" s="48"/>
      <c r="T683" s="48"/>
      <c r="U683" s="53"/>
      <c r="W683" s="53"/>
      <c r="X683" s="53"/>
      <c r="Y683" s="53"/>
      <c r="Z683" s="53"/>
    </row>
    <row r="684" spans="1:26" ht="12.75">
      <c r="A684" s="16"/>
      <c r="C684" s="56"/>
      <c r="D684" s="57"/>
      <c r="E684" s="57"/>
      <c r="F684" s="57"/>
      <c r="G684" s="57"/>
      <c r="J684" s="48"/>
      <c r="S684" s="48"/>
      <c r="T684" s="48"/>
      <c r="U684" s="53"/>
      <c r="W684" s="53"/>
      <c r="X684" s="53"/>
      <c r="Y684" s="53"/>
      <c r="Z684" s="53"/>
    </row>
    <row r="685" spans="1:26" ht="12.75">
      <c r="A685" s="16"/>
      <c r="C685" s="56"/>
      <c r="D685" s="57"/>
      <c r="E685" s="57"/>
      <c r="F685" s="57"/>
      <c r="G685" s="57"/>
      <c r="J685" s="48"/>
      <c r="S685" s="48"/>
      <c r="T685" s="48"/>
      <c r="U685" s="53"/>
      <c r="W685" s="53"/>
      <c r="X685" s="53"/>
      <c r="Y685" s="53"/>
      <c r="Z685" s="53"/>
    </row>
    <row r="686" spans="1:26" ht="12.75">
      <c r="A686" s="16"/>
      <c r="S686" s="48"/>
      <c r="T686" s="48"/>
      <c r="U686" s="53"/>
      <c r="W686" s="53"/>
      <c r="X686" s="53"/>
      <c r="Y686" s="53"/>
      <c r="Z686" s="53"/>
    </row>
    <row r="687" spans="1:26" ht="12.75">
      <c r="A687" s="16"/>
      <c r="S687" s="48"/>
      <c r="T687" s="48"/>
      <c r="U687" s="53"/>
      <c r="W687" s="53"/>
      <c r="X687" s="53"/>
      <c r="Y687" s="53"/>
      <c r="Z687" s="53"/>
    </row>
    <row r="688" spans="1:26" ht="12.75">
      <c r="A688" s="16"/>
      <c r="S688" s="48"/>
      <c r="T688" s="48"/>
      <c r="U688" s="53"/>
      <c r="W688" s="53"/>
      <c r="X688" s="53"/>
      <c r="Y688" s="53"/>
      <c r="Z688" s="53"/>
    </row>
    <row r="689" spans="1:26" ht="12.75">
      <c r="A689" s="16"/>
      <c r="S689" s="48"/>
      <c r="T689" s="48"/>
      <c r="U689" s="53"/>
      <c r="W689" s="53"/>
      <c r="X689" s="53"/>
      <c r="Y689" s="53"/>
      <c r="Z689" s="53"/>
    </row>
    <row r="690" spans="1:26" ht="12.75">
      <c r="A690" s="16"/>
      <c r="C690" s="56"/>
      <c r="D690" s="57"/>
      <c r="E690" s="57"/>
      <c r="F690" s="57"/>
      <c r="G690" s="57"/>
      <c r="H690" s="48"/>
      <c r="I690" s="48"/>
      <c r="J690" s="48"/>
      <c r="K690" s="48"/>
      <c r="L690" s="48"/>
      <c r="M690" s="48"/>
      <c r="N690" s="48"/>
      <c r="O690" s="48"/>
      <c r="P690" s="48"/>
      <c r="Q690" s="48"/>
      <c r="R690" s="48"/>
      <c r="S690" s="48"/>
      <c r="T690" s="48"/>
      <c r="U690" s="53"/>
      <c r="W690" s="53"/>
      <c r="X690" s="53"/>
      <c r="Y690" s="53"/>
      <c r="Z690" s="53"/>
    </row>
    <row r="691" spans="1:26" ht="12.75">
      <c r="A691" s="16"/>
      <c r="C691" s="56"/>
      <c r="D691" s="57"/>
      <c r="E691" s="57"/>
      <c r="F691" s="57"/>
      <c r="G691" s="57"/>
      <c r="H691" s="48"/>
      <c r="I691" s="48"/>
      <c r="J691" s="48"/>
      <c r="K691" s="48"/>
      <c r="L691" s="48"/>
      <c r="M691" s="48"/>
      <c r="N691" s="48"/>
      <c r="O691" s="48"/>
      <c r="P691" s="48"/>
      <c r="Q691" s="48"/>
      <c r="R691" s="48"/>
      <c r="S691" s="48"/>
      <c r="T691" s="48"/>
      <c r="U691" s="53"/>
      <c r="W691" s="53"/>
      <c r="X691" s="53"/>
      <c r="Y691" s="53"/>
      <c r="Z691" s="53"/>
    </row>
    <row r="692" spans="1:26" ht="12.75">
      <c r="A692" s="16"/>
      <c r="C692" s="56"/>
      <c r="D692" s="57"/>
      <c r="E692" s="57"/>
      <c r="F692" s="57"/>
      <c r="G692" s="57"/>
      <c r="H692" s="48"/>
      <c r="I692" s="48"/>
      <c r="J692" s="48"/>
      <c r="K692" s="48"/>
      <c r="L692" s="48"/>
      <c r="M692" s="48"/>
      <c r="N692" s="48"/>
      <c r="O692" s="48"/>
      <c r="P692" s="48"/>
      <c r="Q692" s="48"/>
      <c r="R692" s="48"/>
      <c r="S692" s="48"/>
      <c r="T692" s="48"/>
      <c r="U692" s="53"/>
      <c r="W692" s="53"/>
      <c r="X692" s="53"/>
      <c r="Y692" s="53"/>
      <c r="Z692" s="53"/>
    </row>
    <row r="693" spans="1:26" ht="12.75">
      <c r="A693" s="16"/>
      <c r="C693" s="56"/>
      <c r="D693" s="57"/>
      <c r="E693" s="57"/>
      <c r="F693" s="57"/>
      <c r="G693" s="57"/>
      <c r="H693" s="48"/>
      <c r="I693" s="48"/>
      <c r="J693" s="48"/>
      <c r="K693" s="48"/>
      <c r="L693" s="48"/>
      <c r="M693" s="48"/>
      <c r="N693" s="48"/>
      <c r="O693" s="48"/>
      <c r="P693" s="48"/>
      <c r="Q693" s="48"/>
      <c r="R693" s="48"/>
      <c r="S693" s="48"/>
      <c r="T693" s="48"/>
      <c r="U693" s="53"/>
      <c r="W693" s="53"/>
      <c r="X693" s="53"/>
      <c r="Y693" s="53"/>
      <c r="Z693" s="53"/>
    </row>
    <row r="694" spans="1:26" ht="12.75">
      <c r="A694" s="16"/>
      <c r="C694" s="56"/>
      <c r="D694" s="57"/>
      <c r="E694" s="57"/>
      <c r="F694" s="57"/>
      <c r="G694" s="57"/>
      <c r="H694" s="48"/>
      <c r="I694" s="48"/>
      <c r="J694" s="48"/>
      <c r="K694" s="48"/>
      <c r="L694" s="48"/>
      <c r="M694" s="48"/>
      <c r="N694" s="48"/>
      <c r="O694" s="48"/>
      <c r="P694" s="48"/>
      <c r="Q694" s="48"/>
      <c r="R694" s="48"/>
      <c r="S694" s="48"/>
      <c r="T694" s="48"/>
      <c r="U694" s="53"/>
      <c r="W694" s="53"/>
      <c r="X694" s="53"/>
      <c r="Y694" s="53"/>
      <c r="Z694" s="53"/>
    </row>
    <row r="695" spans="1:26" ht="12.75">
      <c r="A695" s="16"/>
      <c r="C695" s="56"/>
      <c r="D695" s="57"/>
      <c r="E695" s="57"/>
      <c r="F695" s="57"/>
      <c r="G695" s="57"/>
      <c r="H695" s="48"/>
      <c r="I695" s="48"/>
      <c r="J695" s="48"/>
      <c r="K695" s="48"/>
      <c r="L695" s="48"/>
      <c r="M695" s="48"/>
      <c r="N695" s="48"/>
      <c r="O695" s="48"/>
      <c r="P695" s="48"/>
      <c r="Q695" s="48"/>
      <c r="R695" s="48"/>
      <c r="S695" s="48"/>
      <c r="T695" s="48"/>
      <c r="U695" s="53"/>
      <c r="W695" s="53"/>
      <c r="X695" s="53"/>
      <c r="Y695" s="53"/>
      <c r="Z695" s="53"/>
    </row>
    <row r="696" spans="1:26" ht="12.75">
      <c r="A696" s="16"/>
      <c r="C696" s="56"/>
      <c r="D696" s="57"/>
      <c r="E696" s="57"/>
      <c r="F696" s="57"/>
      <c r="G696" s="57"/>
      <c r="H696" s="48"/>
      <c r="I696" s="48"/>
      <c r="J696" s="48"/>
      <c r="K696" s="48"/>
      <c r="L696" s="48"/>
      <c r="M696" s="48"/>
      <c r="N696" s="48"/>
      <c r="O696" s="48"/>
      <c r="P696" s="48"/>
      <c r="Q696" s="48"/>
      <c r="R696" s="48"/>
      <c r="S696" s="48"/>
      <c r="T696" s="48"/>
      <c r="U696" s="53"/>
      <c r="W696" s="53"/>
      <c r="X696" s="53"/>
      <c r="Y696" s="53"/>
      <c r="Z696" s="53"/>
    </row>
    <row r="697" spans="1:26" ht="12.75">
      <c r="A697" s="16"/>
      <c r="C697" s="56"/>
      <c r="D697" s="57"/>
      <c r="E697" s="57"/>
      <c r="F697" s="57"/>
      <c r="G697" s="57"/>
      <c r="H697" s="48"/>
      <c r="I697" s="48"/>
      <c r="J697" s="48"/>
      <c r="K697" s="48"/>
      <c r="L697" s="48"/>
      <c r="M697" s="48"/>
      <c r="N697" s="48"/>
      <c r="O697" s="48"/>
      <c r="P697" s="48"/>
      <c r="Q697" s="48"/>
      <c r="R697" s="48"/>
      <c r="S697" s="48"/>
      <c r="T697" s="48"/>
      <c r="U697" s="53"/>
      <c r="W697" s="53"/>
      <c r="X697" s="53"/>
      <c r="Y697" s="53"/>
      <c r="Z697" s="53"/>
    </row>
    <row r="698" spans="1:26" ht="12.75">
      <c r="A698" s="16"/>
      <c r="C698" s="56"/>
      <c r="D698" s="57"/>
      <c r="E698" s="57"/>
      <c r="F698" s="57"/>
      <c r="G698" s="57"/>
      <c r="H698" s="48"/>
      <c r="I698" s="48"/>
      <c r="J698" s="48"/>
      <c r="K698" s="48"/>
      <c r="L698" s="48"/>
      <c r="M698" s="48"/>
      <c r="N698" s="48"/>
      <c r="O698" s="48"/>
      <c r="P698" s="48"/>
      <c r="Q698" s="48"/>
      <c r="R698" s="48"/>
      <c r="S698" s="48"/>
      <c r="T698" s="48"/>
      <c r="U698" s="53"/>
      <c r="W698" s="53"/>
      <c r="X698" s="53"/>
      <c r="Y698" s="53"/>
      <c r="Z698" s="53"/>
    </row>
    <row r="699" spans="1:26" ht="12.75">
      <c r="A699" s="16"/>
      <c r="C699" s="56"/>
      <c r="D699" s="57"/>
      <c r="E699" s="57"/>
      <c r="F699" s="57"/>
      <c r="G699" s="57"/>
      <c r="H699" s="48"/>
      <c r="I699" s="48"/>
      <c r="J699" s="48"/>
      <c r="K699" s="48"/>
      <c r="L699" s="48"/>
      <c r="M699" s="48"/>
      <c r="N699" s="48"/>
      <c r="O699" s="48"/>
      <c r="P699" s="48"/>
      <c r="Q699" s="48"/>
      <c r="R699" s="48"/>
      <c r="S699" s="48"/>
      <c r="T699" s="48"/>
      <c r="U699" s="53"/>
      <c r="W699" s="53"/>
      <c r="X699" s="53"/>
      <c r="Y699" s="53"/>
      <c r="Z699" s="53"/>
    </row>
    <row r="700" spans="1:26" ht="12.75">
      <c r="A700" s="16"/>
      <c r="C700" s="56"/>
      <c r="D700" s="57"/>
      <c r="E700" s="57"/>
      <c r="F700" s="57"/>
      <c r="G700" s="57"/>
      <c r="H700" s="48"/>
      <c r="I700" s="48"/>
      <c r="J700" s="48"/>
      <c r="K700" s="48"/>
      <c r="L700" s="48"/>
      <c r="M700" s="48"/>
      <c r="N700" s="48"/>
      <c r="O700" s="48"/>
      <c r="P700" s="48"/>
      <c r="Q700" s="48"/>
      <c r="R700" s="48"/>
      <c r="S700" s="48"/>
      <c r="T700" s="48"/>
      <c r="U700" s="53"/>
      <c r="W700" s="53"/>
      <c r="X700" s="53"/>
      <c r="Y700" s="53"/>
      <c r="Z700" s="53"/>
    </row>
    <row r="701" spans="1:26" ht="12.75">
      <c r="A701" s="16"/>
      <c r="C701" s="56"/>
      <c r="D701" s="57"/>
      <c r="E701" s="57"/>
      <c r="F701" s="57"/>
      <c r="G701" s="57"/>
      <c r="H701" s="48"/>
      <c r="I701" s="48"/>
      <c r="J701" s="48"/>
      <c r="K701" s="48"/>
      <c r="L701" s="48"/>
      <c r="M701" s="48"/>
      <c r="N701" s="48"/>
      <c r="O701" s="48"/>
      <c r="P701" s="48"/>
      <c r="Q701" s="48"/>
      <c r="R701" s="48"/>
      <c r="S701" s="48"/>
      <c r="T701" s="48"/>
      <c r="U701" s="53"/>
      <c r="W701" s="53"/>
      <c r="X701" s="53"/>
      <c r="Y701" s="53"/>
      <c r="Z701" s="53"/>
    </row>
    <row r="702" spans="1:26" ht="12.75">
      <c r="A702" s="16"/>
      <c r="C702" s="56"/>
      <c r="D702" s="57"/>
      <c r="E702" s="57"/>
      <c r="F702" s="57"/>
      <c r="G702" s="57"/>
      <c r="H702" s="48"/>
      <c r="I702" s="48"/>
      <c r="J702" s="48"/>
      <c r="K702" s="48"/>
      <c r="L702" s="48"/>
      <c r="M702" s="48"/>
      <c r="N702" s="48"/>
      <c r="O702" s="48"/>
      <c r="P702" s="48"/>
      <c r="Q702" s="48"/>
      <c r="R702" s="48"/>
      <c r="S702" s="48"/>
      <c r="T702" s="48"/>
      <c r="U702" s="53"/>
      <c r="W702" s="53"/>
      <c r="X702" s="53"/>
      <c r="Y702" s="53"/>
      <c r="Z702" s="53"/>
    </row>
    <row r="703" spans="1:26" ht="12.75">
      <c r="A703" s="16"/>
      <c r="C703" s="56"/>
      <c r="D703" s="57"/>
      <c r="E703" s="57"/>
      <c r="F703" s="57"/>
      <c r="G703" s="57"/>
      <c r="H703" s="48"/>
      <c r="I703" s="48"/>
      <c r="J703" s="48"/>
      <c r="K703" s="48"/>
      <c r="L703" s="48"/>
      <c r="M703" s="48"/>
      <c r="N703" s="48"/>
      <c r="O703" s="48"/>
      <c r="P703" s="48"/>
      <c r="Q703" s="48"/>
      <c r="R703" s="48"/>
      <c r="S703" s="48"/>
      <c r="T703" s="48"/>
      <c r="U703" s="53"/>
      <c r="W703" s="53"/>
      <c r="X703" s="53"/>
      <c r="Y703" s="53"/>
      <c r="Z703" s="53"/>
    </row>
    <row r="704" spans="1:26" ht="12.75">
      <c r="A704" s="16"/>
      <c r="C704" s="56"/>
      <c r="D704" s="57"/>
      <c r="E704" s="57"/>
      <c r="F704" s="57"/>
      <c r="G704" s="57"/>
      <c r="H704" s="48"/>
      <c r="I704" s="48"/>
      <c r="J704" s="48"/>
      <c r="K704" s="48"/>
      <c r="L704" s="48"/>
      <c r="M704" s="48"/>
      <c r="N704" s="48"/>
      <c r="O704" s="48"/>
      <c r="P704" s="48"/>
      <c r="Q704" s="48"/>
      <c r="R704" s="48"/>
      <c r="S704" s="48"/>
      <c r="T704" s="48"/>
      <c r="U704" s="53"/>
      <c r="W704" s="53"/>
      <c r="X704" s="53"/>
      <c r="Y704" s="53"/>
      <c r="Z704" s="53"/>
    </row>
    <row r="705" spans="1:26" ht="12.75">
      <c r="A705" s="16"/>
      <c r="C705" s="56"/>
      <c r="D705" s="57"/>
      <c r="E705" s="57"/>
      <c r="F705" s="57"/>
      <c r="G705" s="57"/>
      <c r="H705" s="48"/>
      <c r="I705" s="48"/>
      <c r="J705" s="48"/>
      <c r="K705" s="48"/>
      <c r="L705" s="48"/>
      <c r="M705" s="48"/>
      <c r="N705" s="48"/>
      <c r="O705" s="48"/>
      <c r="P705" s="48"/>
      <c r="Q705" s="48"/>
      <c r="R705" s="48"/>
      <c r="S705" s="48"/>
      <c r="T705" s="48"/>
      <c r="U705" s="53"/>
      <c r="W705" s="53"/>
      <c r="X705" s="53"/>
      <c r="Y705" s="53"/>
      <c r="Z705" s="53"/>
    </row>
    <row r="706" spans="1:26" ht="12.75">
      <c r="A706" s="16"/>
      <c r="C706" s="56"/>
      <c r="D706" s="57"/>
      <c r="E706" s="57"/>
      <c r="F706" s="57"/>
      <c r="G706" s="57"/>
      <c r="H706" s="48"/>
      <c r="I706" s="48"/>
      <c r="J706" s="48"/>
      <c r="K706" s="48"/>
      <c r="L706" s="48"/>
      <c r="M706" s="48"/>
      <c r="N706" s="48"/>
      <c r="O706" s="48"/>
      <c r="P706" s="48"/>
      <c r="Q706" s="48"/>
      <c r="R706" s="48"/>
      <c r="S706" s="48"/>
      <c r="T706" s="48"/>
      <c r="U706" s="53"/>
      <c r="W706" s="53"/>
      <c r="X706" s="53"/>
      <c r="Y706" s="53"/>
      <c r="Z706" s="53"/>
    </row>
    <row r="707" spans="1:26" ht="12.75">
      <c r="A707" s="16"/>
      <c r="C707" s="56"/>
      <c r="D707" s="57"/>
      <c r="E707" s="57"/>
      <c r="F707" s="57"/>
      <c r="G707" s="57"/>
      <c r="H707" s="48"/>
      <c r="I707" s="48"/>
      <c r="J707" s="48"/>
      <c r="K707" s="48"/>
      <c r="L707" s="48"/>
      <c r="M707" s="48"/>
      <c r="N707" s="48"/>
      <c r="O707" s="48"/>
      <c r="P707" s="48"/>
      <c r="Q707" s="48"/>
      <c r="R707" s="48"/>
      <c r="S707" s="48"/>
      <c r="T707" s="48"/>
      <c r="U707" s="53"/>
      <c r="W707" s="53"/>
      <c r="X707" s="53"/>
      <c r="Y707" s="53"/>
      <c r="Z707" s="53"/>
    </row>
    <row r="708" spans="1:26" ht="12.75">
      <c r="A708" s="16"/>
      <c r="C708" s="56"/>
      <c r="D708" s="57"/>
      <c r="E708" s="57"/>
      <c r="F708" s="57"/>
      <c r="G708" s="57"/>
      <c r="H708" s="48"/>
      <c r="I708" s="48"/>
      <c r="J708" s="48"/>
      <c r="K708" s="48"/>
      <c r="L708" s="48"/>
      <c r="M708" s="48"/>
      <c r="N708" s="48"/>
      <c r="O708" s="48"/>
      <c r="P708" s="48"/>
      <c r="Q708" s="48"/>
      <c r="R708" s="48"/>
      <c r="S708" s="48"/>
      <c r="T708" s="48"/>
      <c r="U708" s="53"/>
      <c r="W708" s="53"/>
      <c r="X708" s="53"/>
      <c r="Y708" s="53"/>
      <c r="Z708" s="53"/>
    </row>
    <row r="709" spans="1:26" ht="12.75">
      <c r="A709" s="16"/>
      <c r="C709" s="56"/>
      <c r="D709" s="57"/>
      <c r="E709" s="57"/>
      <c r="F709" s="57"/>
      <c r="G709" s="57"/>
      <c r="H709" s="48"/>
      <c r="I709" s="48"/>
      <c r="J709" s="48"/>
      <c r="K709" s="48"/>
      <c r="L709" s="48"/>
      <c r="M709" s="48"/>
      <c r="N709" s="48"/>
      <c r="O709" s="48"/>
      <c r="P709" s="48"/>
      <c r="Q709" s="48"/>
      <c r="R709" s="48"/>
      <c r="S709" s="48"/>
      <c r="T709" s="48"/>
      <c r="U709" s="53"/>
      <c r="W709" s="53"/>
      <c r="X709" s="53"/>
      <c r="Y709" s="53"/>
      <c r="Z709" s="53"/>
    </row>
    <row r="710" spans="1:26" ht="12.75">
      <c r="A710" s="16"/>
      <c r="C710" s="56"/>
      <c r="D710" s="57"/>
      <c r="E710" s="57"/>
      <c r="F710" s="57"/>
      <c r="G710" s="57"/>
      <c r="H710" s="48"/>
      <c r="I710" s="48"/>
      <c r="J710" s="48"/>
      <c r="K710" s="48"/>
      <c r="L710" s="48"/>
      <c r="M710" s="48"/>
      <c r="N710" s="48"/>
      <c r="O710" s="48"/>
      <c r="P710" s="48"/>
      <c r="Q710" s="48"/>
      <c r="R710" s="48"/>
      <c r="S710" s="48"/>
      <c r="T710" s="48"/>
      <c r="U710" s="53"/>
      <c r="W710" s="53"/>
      <c r="X710" s="53"/>
      <c r="Y710" s="53"/>
      <c r="Z710" s="53"/>
    </row>
    <row r="711" spans="1:26" ht="12.75">
      <c r="A711" s="16"/>
      <c r="C711" s="56"/>
      <c r="D711" s="57"/>
      <c r="E711" s="57"/>
      <c r="F711" s="57"/>
      <c r="G711" s="57"/>
      <c r="H711" s="48"/>
      <c r="I711" s="48"/>
      <c r="J711" s="48"/>
      <c r="K711" s="48"/>
      <c r="L711" s="48"/>
      <c r="M711" s="48"/>
      <c r="N711" s="48"/>
      <c r="O711" s="48"/>
      <c r="P711" s="48"/>
      <c r="Q711" s="48"/>
      <c r="R711" s="48"/>
      <c r="S711" s="48"/>
      <c r="T711" s="48"/>
      <c r="U711" s="53"/>
      <c r="W711" s="53"/>
      <c r="X711" s="53"/>
      <c r="Y711" s="53"/>
      <c r="Z711" s="53"/>
    </row>
    <row r="712" spans="1:26" ht="12.75">
      <c r="A712" s="16"/>
      <c r="C712" s="56"/>
      <c r="D712" s="57"/>
      <c r="E712" s="57"/>
      <c r="F712" s="57"/>
      <c r="G712" s="57"/>
      <c r="H712" s="48"/>
      <c r="I712" s="48"/>
      <c r="J712" s="48"/>
      <c r="K712" s="48"/>
      <c r="L712" s="48"/>
      <c r="M712" s="48"/>
      <c r="N712" s="48"/>
      <c r="O712" s="48"/>
      <c r="P712" s="48"/>
      <c r="Q712" s="48"/>
      <c r="R712" s="48"/>
      <c r="S712" s="48"/>
      <c r="T712" s="48"/>
      <c r="U712" s="53"/>
      <c r="W712" s="53"/>
      <c r="X712" s="53"/>
      <c r="Y712" s="53"/>
      <c r="Z712" s="53"/>
    </row>
    <row r="713" spans="1:26" ht="12.75">
      <c r="A713" s="16"/>
      <c r="C713" s="56"/>
      <c r="D713" s="57"/>
      <c r="E713" s="57"/>
      <c r="F713" s="57"/>
      <c r="G713" s="57"/>
      <c r="H713" s="48"/>
      <c r="I713" s="48"/>
      <c r="J713" s="48"/>
      <c r="K713" s="48"/>
      <c r="L713" s="48"/>
      <c r="M713" s="48"/>
      <c r="N713" s="48"/>
      <c r="O713" s="48"/>
      <c r="P713" s="48"/>
      <c r="Q713" s="48"/>
      <c r="R713" s="48"/>
      <c r="S713" s="48"/>
      <c r="T713" s="48"/>
      <c r="U713" s="53"/>
      <c r="W713" s="53"/>
      <c r="X713" s="53"/>
      <c r="Y713" s="53"/>
      <c r="Z713" s="53"/>
    </row>
    <row r="714" spans="1:26" ht="12.75">
      <c r="A714" s="16"/>
      <c r="C714" s="56"/>
      <c r="D714" s="57"/>
      <c r="E714" s="57"/>
      <c r="F714" s="57"/>
      <c r="G714" s="57"/>
      <c r="H714" s="48"/>
      <c r="I714" s="48"/>
      <c r="J714" s="48"/>
      <c r="K714" s="48"/>
      <c r="L714" s="48"/>
      <c r="M714" s="48"/>
      <c r="N714" s="48"/>
      <c r="O714" s="48"/>
      <c r="P714" s="48"/>
      <c r="Q714" s="48"/>
      <c r="R714" s="48"/>
      <c r="S714" s="48"/>
      <c r="T714" s="48"/>
      <c r="U714" s="53"/>
      <c r="W714" s="53"/>
      <c r="X714" s="53"/>
      <c r="Y714" s="53"/>
      <c r="Z714" s="53"/>
    </row>
    <row r="715" spans="1:26" ht="12.75">
      <c r="A715" s="16"/>
      <c r="C715" s="56"/>
      <c r="D715" s="57"/>
      <c r="E715" s="57"/>
      <c r="F715" s="57"/>
      <c r="G715" s="57"/>
      <c r="H715" s="48"/>
      <c r="I715" s="48"/>
      <c r="J715" s="48"/>
      <c r="K715" s="48"/>
      <c r="L715" s="48"/>
      <c r="M715" s="48"/>
      <c r="N715" s="48"/>
      <c r="O715" s="48"/>
      <c r="P715" s="48"/>
      <c r="Q715" s="48"/>
      <c r="R715" s="48"/>
      <c r="S715" s="48"/>
      <c r="T715" s="48"/>
      <c r="U715" s="53"/>
      <c r="W715" s="53"/>
      <c r="X715" s="53"/>
      <c r="Y715" s="53"/>
      <c r="Z715" s="53"/>
    </row>
    <row r="716" spans="1:26" ht="12.75">
      <c r="A716" s="16"/>
      <c r="C716" s="56"/>
      <c r="D716" s="57"/>
      <c r="E716" s="57"/>
      <c r="F716" s="57"/>
      <c r="G716" s="57"/>
      <c r="H716" s="48"/>
      <c r="I716" s="48"/>
      <c r="J716" s="48"/>
      <c r="K716" s="48"/>
      <c r="L716" s="48"/>
      <c r="M716" s="48"/>
      <c r="N716" s="48"/>
      <c r="O716" s="48"/>
      <c r="P716" s="48"/>
      <c r="Q716" s="48"/>
      <c r="R716" s="48"/>
      <c r="S716" s="48"/>
      <c r="T716" s="48"/>
      <c r="U716" s="53"/>
      <c r="W716" s="53"/>
      <c r="X716" s="53"/>
      <c r="Y716" s="53"/>
      <c r="Z716" s="53"/>
    </row>
    <row r="717" spans="1:26" ht="12.75">
      <c r="A717" s="16"/>
      <c r="C717" s="56"/>
      <c r="D717" s="57"/>
      <c r="E717" s="57"/>
      <c r="F717" s="57"/>
      <c r="G717" s="57"/>
      <c r="H717" s="48"/>
      <c r="I717" s="48"/>
      <c r="J717" s="48"/>
      <c r="K717" s="48"/>
      <c r="L717" s="48"/>
      <c r="M717" s="48"/>
      <c r="N717" s="48"/>
      <c r="O717" s="48"/>
      <c r="P717" s="48"/>
      <c r="Q717" s="48"/>
      <c r="R717" s="48"/>
      <c r="S717" s="48"/>
      <c r="T717" s="48"/>
      <c r="U717" s="53"/>
      <c r="W717" s="53"/>
      <c r="X717" s="53"/>
      <c r="Y717" s="53"/>
      <c r="Z717" s="53"/>
    </row>
    <row r="718" spans="1:26" ht="12.75">
      <c r="A718" s="16"/>
      <c r="C718" s="56"/>
      <c r="D718" s="57"/>
      <c r="E718" s="57"/>
      <c r="F718" s="57"/>
      <c r="G718" s="57"/>
      <c r="H718" s="48"/>
      <c r="I718" s="48"/>
      <c r="J718" s="48"/>
      <c r="K718" s="48"/>
      <c r="L718" s="48"/>
      <c r="M718" s="48"/>
      <c r="N718" s="48"/>
      <c r="O718" s="48"/>
      <c r="P718" s="48"/>
      <c r="Q718" s="48"/>
      <c r="R718" s="48"/>
      <c r="S718" s="48"/>
      <c r="T718" s="48"/>
      <c r="U718" s="53"/>
      <c r="W718" s="53"/>
      <c r="X718" s="53"/>
      <c r="Y718" s="53"/>
      <c r="Z718" s="53"/>
    </row>
    <row r="719" spans="1:26" ht="12.75">
      <c r="A719" s="16"/>
      <c r="C719" s="56"/>
      <c r="D719" s="57"/>
      <c r="E719" s="57"/>
      <c r="F719" s="57"/>
      <c r="G719" s="57"/>
      <c r="H719" s="48"/>
      <c r="I719" s="48"/>
      <c r="J719" s="48"/>
      <c r="K719" s="48"/>
      <c r="L719" s="48"/>
      <c r="M719" s="48"/>
      <c r="N719" s="48"/>
      <c r="O719" s="48"/>
      <c r="P719" s="48"/>
      <c r="Q719" s="48"/>
      <c r="R719" s="48"/>
      <c r="S719" s="48"/>
      <c r="T719" s="48"/>
      <c r="U719" s="53"/>
      <c r="W719" s="53"/>
      <c r="X719" s="53"/>
      <c r="Y719" s="53"/>
      <c r="Z719" s="53"/>
    </row>
    <row r="720" spans="1:26" ht="12.75">
      <c r="A720" s="16"/>
      <c r="C720" s="56"/>
      <c r="D720" s="57"/>
      <c r="E720" s="57"/>
      <c r="F720" s="57"/>
      <c r="G720" s="57"/>
      <c r="H720" s="48"/>
      <c r="I720" s="48"/>
      <c r="J720" s="48"/>
      <c r="K720" s="48"/>
      <c r="L720" s="48"/>
      <c r="M720" s="48"/>
      <c r="N720" s="48"/>
      <c r="O720" s="48"/>
      <c r="P720" s="48"/>
      <c r="Q720" s="48"/>
      <c r="R720" s="48"/>
      <c r="S720" s="48"/>
      <c r="T720" s="48"/>
      <c r="U720" s="53"/>
      <c r="W720" s="53"/>
      <c r="X720" s="53"/>
      <c r="Y720" s="53"/>
      <c r="Z720" s="53"/>
    </row>
    <row r="721" spans="1:26" ht="12.75">
      <c r="A721" s="16"/>
      <c r="C721" s="56"/>
      <c r="D721" s="57"/>
      <c r="E721" s="57"/>
      <c r="F721" s="57"/>
      <c r="G721" s="57"/>
      <c r="H721" s="48"/>
      <c r="I721" s="48"/>
      <c r="J721" s="48"/>
      <c r="K721" s="48"/>
      <c r="L721" s="48"/>
      <c r="M721" s="48"/>
      <c r="N721" s="48"/>
      <c r="O721" s="48"/>
      <c r="P721" s="48"/>
      <c r="Q721" s="48"/>
      <c r="R721" s="48"/>
      <c r="S721" s="48"/>
      <c r="T721" s="48"/>
      <c r="U721" s="53"/>
      <c r="W721" s="53"/>
      <c r="X721" s="53"/>
      <c r="Y721" s="53"/>
      <c r="Z721" s="53"/>
    </row>
    <row r="722" spans="1:26" ht="12.75">
      <c r="A722" s="16"/>
      <c r="C722" s="56"/>
      <c r="D722" s="57"/>
      <c r="E722" s="57"/>
      <c r="F722" s="57"/>
      <c r="G722" s="57"/>
      <c r="H722" s="48"/>
      <c r="I722" s="48"/>
      <c r="J722" s="48"/>
      <c r="K722" s="48"/>
      <c r="L722" s="48"/>
      <c r="M722" s="48"/>
      <c r="N722" s="48"/>
      <c r="O722" s="48"/>
      <c r="P722" s="48"/>
      <c r="Q722" s="48"/>
      <c r="R722" s="48"/>
      <c r="S722" s="48"/>
      <c r="T722" s="48"/>
      <c r="U722" s="53"/>
      <c r="W722" s="53"/>
      <c r="X722" s="53"/>
      <c r="Y722" s="53"/>
      <c r="Z722" s="53"/>
    </row>
    <row r="723" spans="1:26" ht="12.75">
      <c r="A723" s="16"/>
      <c r="C723" s="56"/>
      <c r="D723" s="57"/>
      <c r="E723" s="57"/>
      <c r="F723" s="57"/>
      <c r="G723" s="57"/>
      <c r="H723" s="48"/>
      <c r="I723" s="48"/>
      <c r="J723" s="48"/>
      <c r="K723" s="48"/>
      <c r="L723" s="48"/>
      <c r="M723" s="48"/>
      <c r="N723" s="48"/>
      <c r="O723" s="48"/>
      <c r="P723" s="48"/>
      <c r="Q723" s="48"/>
      <c r="R723" s="48"/>
      <c r="S723" s="48"/>
      <c r="T723" s="48"/>
      <c r="U723" s="53"/>
      <c r="W723" s="53"/>
      <c r="X723" s="53"/>
      <c r="Y723" s="53"/>
      <c r="Z723" s="53"/>
    </row>
    <row r="724" spans="1:26" ht="12.75">
      <c r="A724" s="16"/>
      <c r="C724" s="56"/>
      <c r="D724" s="57"/>
      <c r="E724" s="57"/>
      <c r="F724" s="57"/>
      <c r="G724" s="57"/>
      <c r="H724" s="48"/>
      <c r="I724" s="48"/>
      <c r="J724" s="48"/>
      <c r="K724" s="48"/>
      <c r="L724" s="48"/>
      <c r="M724" s="48"/>
      <c r="N724" s="48"/>
      <c r="O724" s="48"/>
      <c r="P724" s="48"/>
      <c r="Q724" s="48"/>
      <c r="R724" s="48"/>
      <c r="S724" s="48"/>
      <c r="T724" s="48"/>
      <c r="U724" s="53"/>
      <c r="W724" s="53"/>
      <c r="X724" s="53"/>
      <c r="Y724" s="53"/>
      <c r="Z724" s="53"/>
    </row>
    <row r="725" spans="1:26" ht="12.75">
      <c r="A725" s="16"/>
      <c r="C725" s="56"/>
      <c r="D725" s="57"/>
      <c r="E725" s="57"/>
      <c r="F725" s="57"/>
      <c r="G725" s="57"/>
      <c r="H725" s="48"/>
      <c r="I725" s="48"/>
      <c r="J725" s="48"/>
      <c r="K725" s="48"/>
      <c r="L725" s="48"/>
      <c r="M725" s="48"/>
      <c r="N725" s="48"/>
      <c r="O725" s="48"/>
      <c r="P725" s="48"/>
      <c r="Q725" s="48"/>
      <c r="R725" s="48"/>
      <c r="S725" s="48"/>
      <c r="T725" s="48"/>
      <c r="U725" s="53"/>
      <c r="W725" s="53"/>
      <c r="X725" s="53"/>
      <c r="Y725" s="53"/>
      <c r="Z725" s="53"/>
    </row>
    <row r="726" spans="1:26" ht="12.75">
      <c r="A726" s="16"/>
      <c r="C726" s="56"/>
      <c r="D726" s="57"/>
      <c r="E726" s="57"/>
      <c r="F726" s="57"/>
      <c r="G726" s="57"/>
      <c r="H726" s="48"/>
      <c r="I726" s="48"/>
      <c r="J726" s="48"/>
      <c r="K726" s="48"/>
      <c r="L726" s="48"/>
      <c r="M726" s="48"/>
      <c r="N726" s="48"/>
      <c r="O726" s="48"/>
      <c r="P726" s="48"/>
      <c r="Q726" s="48"/>
      <c r="R726" s="48"/>
      <c r="S726" s="48"/>
      <c r="T726" s="48"/>
      <c r="U726" s="53"/>
      <c r="W726" s="53"/>
      <c r="X726" s="53"/>
      <c r="Y726" s="53"/>
      <c r="Z726" s="53"/>
    </row>
    <row r="727" spans="1:26" ht="12.75">
      <c r="A727" s="16"/>
      <c r="C727" s="56"/>
      <c r="D727" s="57"/>
      <c r="E727" s="57"/>
      <c r="F727" s="57"/>
      <c r="G727" s="57"/>
      <c r="H727" s="48"/>
      <c r="I727" s="48"/>
      <c r="J727" s="48"/>
      <c r="K727" s="48"/>
      <c r="L727" s="48"/>
      <c r="M727" s="48"/>
      <c r="N727" s="48"/>
      <c r="O727" s="48"/>
      <c r="P727" s="48"/>
      <c r="Q727" s="48"/>
      <c r="R727" s="48"/>
      <c r="S727" s="48"/>
      <c r="T727" s="48"/>
      <c r="U727" s="53"/>
      <c r="W727" s="53"/>
      <c r="X727" s="53"/>
      <c r="Y727" s="53"/>
      <c r="Z727" s="53"/>
    </row>
    <row r="728" spans="1:26" ht="12.75">
      <c r="A728" s="16"/>
      <c r="C728" s="56"/>
      <c r="D728" s="57"/>
      <c r="E728" s="57"/>
      <c r="F728" s="57"/>
      <c r="G728" s="57"/>
      <c r="H728" s="48"/>
      <c r="I728" s="48"/>
      <c r="J728" s="48"/>
      <c r="K728" s="48"/>
      <c r="L728" s="48"/>
      <c r="M728" s="48"/>
      <c r="N728" s="48"/>
      <c r="O728" s="48"/>
      <c r="P728" s="48"/>
      <c r="Q728" s="48"/>
      <c r="R728" s="48"/>
      <c r="S728" s="48"/>
      <c r="T728" s="48"/>
      <c r="U728" s="53"/>
      <c r="W728" s="53"/>
      <c r="X728" s="53"/>
      <c r="Y728" s="53"/>
      <c r="Z728" s="53"/>
    </row>
    <row r="729" spans="1:26" ht="12.75">
      <c r="A729" s="16"/>
      <c r="C729" s="56"/>
      <c r="D729" s="57"/>
      <c r="E729" s="57"/>
      <c r="F729" s="57"/>
      <c r="G729" s="57"/>
      <c r="H729" s="48"/>
      <c r="I729" s="48"/>
      <c r="J729" s="48"/>
      <c r="K729" s="48"/>
      <c r="L729" s="48"/>
      <c r="M729" s="48"/>
      <c r="N729" s="48"/>
      <c r="O729" s="48"/>
      <c r="P729" s="48"/>
      <c r="Q729" s="48"/>
      <c r="R729" s="48"/>
      <c r="S729" s="48"/>
      <c r="T729" s="48"/>
      <c r="U729" s="53"/>
      <c r="W729" s="53"/>
      <c r="X729" s="53"/>
      <c r="Y729" s="53"/>
      <c r="Z729" s="53"/>
    </row>
    <row r="730" spans="1:26" ht="12.75">
      <c r="A730" s="16"/>
      <c r="C730" s="56"/>
      <c r="D730" s="57"/>
      <c r="E730" s="57"/>
      <c r="F730" s="57"/>
      <c r="G730" s="57"/>
      <c r="H730" s="48"/>
      <c r="I730" s="48"/>
      <c r="J730" s="48"/>
      <c r="K730" s="48"/>
      <c r="L730" s="48"/>
      <c r="M730" s="48"/>
      <c r="N730" s="48"/>
      <c r="O730" s="48"/>
      <c r="P730" s="48"/>
      <c r="Q730" s="48"/>
      <c r="R730" s="48"/>
      <c r="S730" s="48"/>
      <c r="T730" s="48"/>
      <c r="U730" s="53"/>
      <c r="W730" s="53"/>
      <c r="X730" s="53"/>
      <c r="Y730" s="53"/>
      <c r="Z730" s="53"/>
    </row>
    <row r="731" spans="1:26" ht="12.75">
      <c r="A731" s="16"/>
      <c r="C731" s="56"/>
      <c r="D731" s="57"/>
      <c r="E731" s="57"/>
      <c r="F731" s="57"/>
      <c r="G731" s="57"/>
      <c r="H731" s="48"/>
      <c r="I731" s="48"/>
      <c r="J731" s="48"/>
      <c r="K731" s="48"/>
      <c r="L731" s="48"/>
      <c r="M731" s="48"/>
      <c r="N731" s="48"/>
      <c r="O731" s="48"/>
      <c r="P731" s="48"/>
      <c r="Q731" s="48"/>
      <c r="R731" s="48"/>
      <c r="S731" s="48"/>
      <c r="T731" s="48"/>
      <c r="U731" s="53"/>
      <c r="W731" s="53"/>
      <c r="X731" s="53"/>
      <c r="Y731" s="53"/>
      <c r="Z731" s="53"/>
    </row>
    <row r="732" spans="1:26" ht="12.75">
      <c r="A732" s="16"/>
      <c r="C732" s="56"/>
      <c r="D732" s="57"/>
      <c r="E732" s="57"/>
      <c r="F732" s="57"/>
      <c r="G732" s="57"/>
      <c r="H732" s="48"/>
      <c r="I732" s="48"/>
      <c r="J732" s="48"/>
      <c r="K732" s="48"/>
      <c r="L732" s="48"/>
      <c r="M732" s="48"/>
      <c r="N732" s="48"/>
      <c r="O732" s="48"/>
      <c r="P732" s="48"/>
      <c r="Q732" s="48"/>
      <c r="R732" s="48"/>
      <c r="S732" s="48"/>
      <c r="T732" s="48"/>
      <c r="U732" s="53"/>
      <c r="W732" s="53"/>
      <c r="X732" s="53"/>
      <c r="Y732" s="53"/>
      <c r="Z732" s="53"/>
    </row>
    <row r="733" spans="1:26" ht="12.75">
      <c r="A733" s="16"/>
      <c r="C733" s="56"/>
      <c r="D733" s="57"/>
      <c r="E733" s="57"/>
      <c r="F733" s="57"/>
      <c r="G733" s="57"/>
      <c r="H733" s="48"/>
      <c r="I733" s="48"/>
      <c r="J733" s="48"/>
      <c r="K733" s="48"/>
      <c r="L733" s="48"/>
      <c r="M733" s="48"/>
      <c r="N733" s="48"/>
      <c r="O733" s="48"/>
      <c r="P733" s="48"/>
      <c r="Q733" s="48"/>
      <c r="R733" s="48"/>
      <c r="S733" s="48"/>
      <c r="T733" s="48"/>
      <c r="U733" s="53"/>
      <c r="W733" s="53"/>
      <c r="X733" s="53"/>
      <c r="Y733" s="53"/>
      <c r="Z733" s="53"/>
    </row>
    <row r="734" spans="1:26" ht="12.75">
      <c r="A734" s="16"/>
      <c r="C734" s="56"/>
      <c r="D734" s="57"/>
      <c r="E734" s="57"/>
      <c r="F734" s="57"/>
      <c r="G734" s="57"/>
      <c r="H734" s="48"/>
      <c r="I734" s="48"/>
      <c r="J734" s="48"/>
      <c r="K734" s="48"/>
      <c r="L734" s="48"/>
      <c r="M734" s="48"/>
      <c r="N734" s="48"/>
      <c r="O734" s="48"/>
      <c r="P734" s="48"/>
      <c r="Q734" s="48"/>
      <c r="R734" s="48"/>
      <c r="S734" s="48"/>
      <c r="T734" s="48"/>
      <c r="U734" s="53"/>
      <c r="W734" s="53"/>
      <c r="X734" s="53"/>
      <c r="Y734" s="53"/>
      <c r="Z734" s="53"/>
    </row>
    <row r="735" spans="1:26" ht="12.75">
      <c r="A735" s="16"/>
      <c r="C735" s="56"/>
      <c r="D735" s="57"/>
      <c r="E735" s="57"/>
      <c r="F735" s="57"/>
      <c r="G735" s="57"/>
      <c r="H735" s="48"/>
      <c r="I735" s="48"/>
      <c r="J735" s="48"/>
      <c r="K735" s="48"/>
      <c r="L735" s="48"/>
      <c r="M735" s="48"/>
      <c r="N735" s="48"/>
      <c r="O735" s="48"/>
      <c r="P735" s="48"/>
      <c r="Q735" s="48"/>
      <c r="R735" s="48"/>
      <c r="S735" s="48"/>
      <c r="T735" s="48"/>
      <c r="U735" s="53"/>
      <c r="W735" s="53"/>
      <c r="X735" s="53"/>
      <c r="Y735" s="53"/>
      <c r="Z735" s="53"/>
    </row>
    <row r="736" spans="1:26" ht="12.75">
      <c r="A736" s="16"/>
      <c r="C736" s="56"/>
      <c r="D736" s="57"/>
      <c r="E736" s="57"/>
      <c r="F736" s="57"/>
      <c r="G736" s="57"/>
      <c r="H736" s="48"/>
      <c r="I736" s="48"/>
      <c r="J736" s="48"/>
      <c r="K736" s="48"/>
      <c r="L736" s="48"/>
      <c r="M736" s="48"/>
      <c r="N736" s="48"/>
      <c r="O736" s="48"/>
      <c r="P736" s="48"/>
      <c r="Q736" s="48"/>
      <c r="R736" s="48"/>
      <c r="S736" s="48"/>
      <c r="T736" s="48"/>
      <c r="U736" s="53"/>
      <c r="W736" s="53"/>
      <c r="X736" s="53"/>
      <c r="Y736" s="53"/>
      <c r="Z736" s="53"/>
    </row>
    <row r="737" spans="1:26" ht="12.75">
      <c r="A737" s="16"/>
      <c r="C737" s="56"/>
      <c r="D737" s="57"/>
      <c r="E737" s="57"/>
      <c r="F737" s="57"/>
      <c r="G737" s="57"/>
      <c r="H737" s="48"/>
      <c r="I737" s="48"/>
      <c r="J737" s="48"/>
      <c r="K737" s="48"/>
      <c r="L737" s="48"/>
      <c r="M737" s="48"/>
      <c r="N737" s="48"/>
      <c r="O737" s="48"/>
      <c r="P737" s="48"/>
      <c r="Q737" s="48"/>
      <c r="R737" s="48"/>
      <c r="S737" s="48"/>
      <c r="T737" s="48"/>
      <c r="U737" s="53"/>
      <c r="W737" s="53"/>
      <c r="X737" s="53"/>
      <c r="Y737" s="53"/>
      <c r="Z737" s="53"/>
    </row>
    <row r="738" spans="1:26" ht="12.75">
      <c r="A738" s="16"/>
      <c r="C738" s="56"/>
      <c r="D738" s="57"/>
      <c r="E738" s="57"/>
      <c r="F738" s="57"/>
      <c r="G738" s="57"/>
      <c r="H738" s="48"/>
      <c r="I738" s="48"/>
      <c r="J738" s="48"/>
      <c r="K738" s="48"/>
      <c r="L738" s="48"/>
      <c r="M738" s="48"/>
      <c r="N738" s="48"/>
      <c r="O738" s="48"/>
      <c r="P738" s="48"/>
      <c r="Q738" s="48"/>
      <c r="R738" s="48"/>
      <c r="S738" s="48"/>
      <c r="T738" s="48"/>
      <c r="U738" s="53"/>
      <c r="W738" s="53"/>
      <c r="X738" s="53"/>
      <c r="Y738" s="53"/>
      <c r="Z738" s="53"/>
    </row>
    <row r="739" spans="1:26" ht="12.75">
      <c r="A739" s="16"/>
      <c r="C739" s="56"/>
      <c r="D739" s="57"/>
      <c r="E739" s="57"/>
      <c r="F739" s="57"/>
      <c r="G739" s="57"/>
      <c r="H739" s="48"/>
      <c r="I739" s="48"/>
      <c r="J739" s="48"/>
      <c r="K739" s="48"/>
      <c r="L739" s="48"/>
      <c r="M739" s="48"/>
      <c r="N739" s="48"/>
      <c r="O739" s="48"/>
      <c r="P739" s="48"/>
      <c r="Q739" s="48"/>
      <c r="R739" s="48"/>
      <c r="S739" s="48"/>
      <c r="T739" s="48"/>
      <c r="U739" s="53"/>
      <c r="W739" s="53"/>
      <c r="X739" s="53"/>
      <c r="Y739" s="53"/>
      <c r="Z739" s="53"/>
    </row>
    <row r="740" spans="1:26" ht="12.75">
      <c r="A740" s="16"/>
      <c r="C740" s="56"/>
      <c r="D740" s="57"/>
      <c r="E740" s="57"/>
      <c r="F740" s="57"/>
      <c r="G740" s="57"/>
      <c r="H740" s="48"/>
      <c r="I740" s="48"/>
      <c r="J740" s="48"/>
      <c r="K740" s="48"/>
      <c r="L740" s="48"/>
      <c r="M740" s="48"/>
      <c r="N740" s="48"/>
      <c r="O740" s="48"/>
      <c r="P740" s="48"/>
      <c r="Q740" s="48"/>
      <c r="R740" s="48"/>
      <c r="S740" s="48"/>
      <c r="T740" s="48"/>
      <c r="U740" s="53"/>
      <c r="W740" s="53"/>
      <c r="X740" s="53"/>
      <c r="Y740" s="53"/>
      <c r="Z740" s="53"/>
    </row>
    <row r="741" spans="1:26" ht="12.75">
      <c r="A741" s="16"/>
      <c r="C741" s="56"/>
      <c r="D741" s="57"/>
      <c r="E741" s="57"/>
      <c r="F741" s="57"/>
      <c r="G741" s="57"/>
      <c r="H741" s="48"/>
      <c r="I741" s="48"/>
      <c r="J741" s="48"/>
      <c r="K741" s="48"/>
      <c r="L741" s="48"/>
      <c r="M741" s="48"/>
      <c r="N741" s="48"/>
      <c r="O741" s="48"/>
      <c r="P741" s="48"/>
      <c r="Q741" s="48"/>
      <c r="R741" s="48"/>
      <c r="S741" s="48"/>
      <c r="T741" s="48"/>
      <c r="U741" s="53"/>
      <c r="W741" s="53"/>
      <c r="X741" s="53"/>
      <c r="Y741" s="53"/>
      <c r="Z741" s="53"/>
    </row>
    <row r="742" spans="1:26" ht="12.75">
      <c r="A742" s="16"/>
      <c r="C742" s="56"/>
      <c r="D742" s="57"/>
      <c r="E742" s="57"/>
      <c r="F742" s="57"/>
      <c r="G742" s="57"/>
      <c r="H742" s="48"/>
      <c r="I742" s="48"/>
      <c r="J742" s="48"/>
      <c r="K742" s="48"/>
      <c r="L742" s="48"/>
      <c r="M742" s="48"/>
      <c r="N742" s="48"/>
      <c r="O742" s="48"/>
      <c r="P742" s="48"/>
      <c r="Q742" s="48"/>
      <c r="R742" s="48"/>
      <c r="S742" s="48"/>
      <c r="T742" s="48"/>
      <c r="U742" s="53"/>
      <c r="W742" s="53"/>
      <c r="X742" s="53"/>
      <c r="Y742" s="53"/>
      <c r="Z742" s="53"/>
    </row>
    <row r="743" spans="1:26" ht="12.75">
      <c r="A743" s="16"/>
      <c r="C743" s="56"/>
      <c r="D743" s="57"/>
      <c r="E743" s="57"/>
      <c r="F743" s="57"/>
      <c r="G743" s="57"/>
      <c r="H743" s="48"/>
      <c r="I743" s="48"/>
      <c r="J743" s="48"/>
      <c r="K743" s="48"/>
      <c r="L743" s="48"/>
      <c r="M743" s="48"/>
      <c r="N743" s="48"/>
      <c r="O743" s="48"/>
      <c r="P743" s="48"/>
      <c r="Q743" s="48"/>
      <c r="R743" s="48"/>
      <c r="S743" s="48"/>
      <c r="T743" s="48"/>
      <c r="U743" s="53"/>
      <c r="W743" s="53"/>
      <c r="X743" s="53"/>
      <c r="Y743" s="53"/>
      <c r="Z743" s="53"/>
    </row>
    <row r="744" spans="1:26" ht="12.75">
      <c r="A744" s="16"/>
      <c r="C744" s="56"/>
      <c r="D744" s="57"/>
      <c r="E744" s="57"/>
      <c r="F744" s="57"/>
      <c r="G744" s="57"/>
      <c r="H744" s="48"/>
      <c r="I744" s="48"/>
      <c r="J744" s="48"/>
      <c r="K744" s="48"/>
      <c r="L744" s="48"/>
      <c r="M744" s="48"/>
      <c r="N744" s="48"/>
      <c r="O744" s="48"/>
      <c r="P744" s="48"/>
      <c r="Q744" s="48"/>
      <c r="R744" s="48"/>
      <c r="S744" s="48"/>
      <c r="T744" s="48"/>
      <c r="U744" s="53"/>
      <c r="W744" s="53"/>
      <c r="X744" s="53"/>
      <c r="Y744" s="53"/>
      <c r="Z744" s="53"/>
    </row>
  </sheetData>
  <sheetProtection/>
  <mergeCells count="52">
    <mergeCell ref="A6:A12"/>
    <mergeCell ref="B6:B12"/>
    <mergeCell ref="M7:N7"/>
    <mergeCell ref="G8:G12"/>
    <mergeCell ref="K9:K12"/>
    <mergeCell ref="H8:I8"/>
    <mergeCell ref="C6:C12"/>
    <mergeCell ref="I9:I12"/>
    <mergeCell ref="H9:H12"/>
    <mergeCell ref="J8:J12"/>
    <mergeCell ref="V9:V12"/>
    <mergeCell ref="U6:Y6"/>
    <mergeCell ref="O9:O12"/>
    <mergeCell ref="U7:W7"/>
    <mergeCell ref="M8:N8"/>
    <mergeCell ref="O6:Q6"/>
    <mergeCell ref="W9:W12"/>
    <mergeCell ref="Q7:Q12"/>
    <mergeCell ref="U8:U12"/>
    <mergeCell ref="G6:I7"/>
    <mergeCell ref="J6:L7"/>
    <mergeCell ref="P9:P12"/>
    <mergeCell ref="M9:M12"/>
    <mergeCell ref="O8:P8"/>
    <mergeCell ref="K8:L8"/>
    <mergeCell ref="B424:AA424"/>
    <mergeCell ref="X7:Y7"/>
    <mergeCell ref="N9:N12"/>
    <mergeCell ref="D6:D12"/>
    <mergeCell ref="F6:F12"/>
    <mergeCell ref="A1:AA1"/>
    <mergeCell ref="A2:AA2"/>
    <mergeCell ref="A3:AA3"/>
    <mergeCell ref="A4:AA4"/>
    <mergeCell ref="A5:AA5"/>
    <mergeCell ref="AF6:AF12"/>
    <mergeCell ref="AB6:AB12"/>
    <mergeCell ref="AN8:AO8"/>
    <mergeCell ref="AL8:AM8"/>
    <mergeCell ref="AG6:AG10"/>
    <mergeCell ref="AK6:AK10"/>
    <mergeCell ref="AH6:AH10"/>
    <mergeCell ref="AA6:AA12"/>
    <mergeCell ref="AJ6:AJ10"/>
    <mergeCell ref="L9:L12"/>
    <mergeCell ref="O7:P7"/>
    <mergeCell ref="V8:W8"/>
    <mergeCell ref="AF132:AL132"/>
    <mergeCell ref="AC6:AC12"/>
    <mergeCell ref="X8:X12"/>
    <mergeCell ref="Y8:Y12"/>
    <mergeCell ref="AI6:AI10"/>
  </mergeCells>
  <printOptions horizontalCentered="1"/>
  <pageMargins left="0" right="0" top="0.5905511811023623" bottom="0.3937007874015748" header="0.1968503937007874" footer="0.1968503937007874"/>
  <pageSetup horizontalDpi="600" verticalDpi="600" orientation="landscape" paperSize="9" scale="83" r:id="rId3"/>
  <headerFooter>
    <oddFooter>&amp;R&amp;P/&amp;N</oddFooter>
  </headerFooter>
  <rowBreaks count="1" manualBreakCount="1">
    <brk id="371" max="26" man="1"/>
  </rowBreaks>
  <legacyDrawing r:id="rId2"/>
</worksheet>
</file>

<file path=xl/worksheets/sheet2.xml><?xml version="1.0" encoding="utf-8"?>
<worksheet xmlns="http://schemas.openxmlformats.org/spreadsheetml/2006/main" xmlns:r="http://schemas.openxmlformats.org/officeDocument/2006/relationships">
  <dimension ref="A1:IE386"/>
  <sheetViews>
    <sheetView view="pageBreakPreview" zoomScale="85" zoomScaleSheetLayoutView="85" zoomScalePageLayoutView="0" workbookViewId="0" topLeftCell="A6">
      <selection activeCell="C5" sqref="C5:C11"/>
    </sheetView>
  </sheetViews>
  <sheetFormatPr defaultColWidth="9.140625" defaultRowHeight="12.75"/>
  <cols>
    <col min="1" max="1" width="5.140625" style="49" customWidth="1"/>
    <col min="2" max="2" width="32.00390625" style="55" customWidth="1"/>
    <col min="3" max="3" width="5.140625" style="61" customWidth="1"/>
    <col min="4" max="4" width="11.00390625" style="16" hidden="1" customWidth="1"/>
    <col min="5" max="5" width="5.8515625" style="16" customWidth="1"/>
    <col min="6" max="6" width="12.00390625" style="16" customWidth="1"/>
    <col min="7" max="7" width="9.57421875" style="58" customWidth="1"/>
    <col min="8" max="8" width="8.7109375" style="58" customWidth="1"/>
    <col min="9" max="9" width="11.57421875" style="58" hidden="1" customWidth="1"/>
    <col min="10" max="10" width="11.140625" style="58" hidden="1" customWidth="1"/>
    <col min="11" max="11" width="11.421875" style="58" hidden="1" customWidth="1"/>
    <col min="12" max="13" width="11.7109375" style="58" hidden="1" customWidth="1"/>
    <col min="14" max="14" width="9.28125" style="58" customWidth="1"/>
    <col min="15" max="15" width="8.28125" style="58" customWidth="1"/>
    <col min="16" max="16" width="7.7109375" style="41" customWidth="1"/>
    <col min="17" max="17" width="9.8515625" style="58" hidden="1" customWidth="1"/>
    <col min="18" max="18" width="10.7109375" style="58" hidden="1" customWidth="1"/>
    <col min="19" max="19" width="8.28125" style="58" hidden="1" customWidth="1"/>
    <col min="20" max="20" width="8.7109375" style="59" customWidth="1"/>
    <col min="21" max="21" width="7.421875" style="59" customWidth="1"/>
    <col min="22" max="22" width="7.57421875" style="59" customWidth="1"/>
    <col min="23" max="23" width="8.421875" style="59" customWidth="1"/>
    <col min="24" max="24" width="7.28125" style="59" customWidth="1"/>
    <col min="25" max="25" width="7.28125" style="59" hidden="1" customWidth="1"/>
    <col min="26" max="26" width="13.00390625" style="56" customWidth="1"/>
    <col min="27" max="28" width="10.28125" style="56" customWidth="1"/>
    <col min="29" max="29" width="14.57421875" style="60" customWidth="1"/>
    <col min="30" max="30" width="7.57421875" style="60" customWidth="1"/>
    <col min="31" max="32" width="8.7109375" style="60" customWidth="1"/>
    <col min="33" max="33" width="8.421875" style="60" customWidth="1"/>
    <col min="34" max="34" width="14.7109375" style="48" customWidth="1"/>
    <col min="35" max="35" width="14.140625" style="48" customWidth="1"/>
    <col min="36" max="36" width="11.140625" style="48" customWidth="1"/>
    <col min="37" max="41" width="10.421875" style="48" customWidth="1"/>
    <col min="42" max="42" width="11.421875" style="48" bestFit="1" customWidth="1"/>
    <col min="43" max="43" width="10.140625" style="48" bestFit="1" customWidth="1"/>
    <col min="44" max="16384" width="9.140625" style="48" customWidth="1"/>
  </cols>
  <sheetData>
    <row r="1" spans="1:33" s="2" customFormat="1" ht="19.5" customHeight="1">
      <c r="A1" s="642" t="s">
        <v>956</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3"/>
      <c r="AB1" s="3"/>
      <c r="AC1" s="4"/>
      <c r="AD1" s="4"/>
      <c r="AE1" s="4"/>
      <c r="AF1" s="4"/>
      <c r="AG1" s="1"/>
    </row>
    <row r="2" spans="1:35" s="2" customFormat="1" ht="27" customHeight="1">
      <c r="A2" s="643" t="s">
        <v>503</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5"/>
      <c r="AB2" s="5"/>
      <c r="AC2" s="6"/>
      <c r="AD2" s="6"/>
      <c r="AE2" s="6"/>
      <c r="AF2" s="6"/>
      <c r="AG2" s="6"/>
      <c r="AH2" s="7"/>
      <c r="AI2" s="7"/>
    </row>
    <row r="3" spans="1:33" s="2" customFormat="1" ht="13.5" customHeight="1">
      <c r="A3" s="644" t="str">
        <f>+'Bieu 10 Von 2016'!A4:AA4</f>
        <v>(Kèm theo Báo cáo số:                   /BC-UBND ngày          /11/2015 của UBND tỉnh Điện Biên) </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8"/>
      <c r="AB3" s="8"/>
      <c r="AC3" s="9"/>
      <c r="AD3" s="9"/>
      <c r="AE3" s="9"/>
      <c r="AF3" s="9"/>
      <c r="AG3" s="9"/>
    </row>
    <row r="4" spans="1:33" s="11" customFormat="1" ht="15" customHeight="1">
      <c r="A4" s="645" t="s">
        <v>23</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81"/>
      <c r="AB4" s="81"/>
      <c r="AC4" s="10"/>
      <c r="AD4" s="10"/>
      <c r="AE4" s="10"/>
      <c r="AF4" s="10"/>
      <c r="AG4" s="10"/>
    </row>
    <row r="5" spans="1:33" s="16" customFormat="1" ht="24.75" customHeight="1">
      <c r="A5" s="633" t="s">
        <v>24</v>
      </c>
      <c r="B5" s="633" t="s">
        <v>25</v>
      </c>
      <c r="C5" s="629" t="s">
        <v>26</v>
      </c>
      <c r="D5" s="633" t="s">
        <v>27</v>
      </c>
      <c r="E5" s="633" t="s">
        <v>28</v>
      </c>
      <c r="F5" s="633" t="s">
        <v>301</v>
      </c>
      <c r="G5" s="633"/>
      <c r="H5" s="633"/>
      <c r="I5" s="633" t="s">
        <v>29</v>
      </c>
      <c r="J5" s="633"/>
      <c r="K5" s="633"/>
      <c r="L5" s="14" t="s">
        <v>30</v>
      </c>
      <c r="M5" s="14"/>
      <c r="N5" s="647" t="s">
        <v>30</v>
      </c>
      <c r="O5" s="647"/>
      <c r="P5" s="647"/>
      <c r="Q5" s="14"/>
      <c r="R5" s="14"/>
      <c r="S5" s="14"/>
      <c r="T5" s="646" t="s">
        <v>15</v>
      </c>
      <c r="U5" s="646"/>
      <c r="V5" s="646"/>
      <c r="W5" s="646"/>
      <c r="X5" s="646"/>
      <c r="Y5" s="15"/>
      <c r="Z5" s="629" t="s">
        <v>852</v>
      </c>
      <c r="AA5" s="637" t="e">
        <f>#REF!-#REF!</f>
        <v>#REF!</v>
      </c>
      <c r="AB5" s="80"/>
      <c r="AC5" s="629" t="s">
        <v>490</v>
      </c>
      <c r="AD5" s="630" t="s">
        <v>493</v>
      </c>
      <c r="AE5" s="630" t="s">
        <v>494</v>
      </c>
      <c r="AF5" s="630" t="s">
        <v>495</v>
      </c>
      <c r="AG5" s="630" t="s">
        <v>491</v>
      </c>
    </row>
    <row r="6" spans="1:33" s="18" customFormat="1" ht="39" customHeight="1">
      <c r="A6" s="633"/>
      <c r="B6" s="633"/>
      <c r="C6" s="629"/>
      <c r="D6" s="633"/>
      <c r="E6" s="633"/>
      <c r="F6" s="633"/>
      <c r="G6" s="633"/>
      <c r="H6" s="633"/>
      <c r="I6" s="633"/>
      <c r="J6" s="633"/>
      <c r="K6" s="633"/>
      <c r="L6" s="633" t="s">
        <v>32</v>
      </c>
      <c r="M6" s="633"/>
      <c r="N6" s="633" t="s">
        <v>33</v>
      </c>
      <c r="O6" s="633"/>
      <c r="P6" s="633" t="s">
        <v>395</v>
      </c>
      <c r="Q6" s="12"/>
      <c r="R6" s="12"/>
      <c r="S6" s="12"/>
      <c r="T6" s="648" t="s">
        <v>550</v>
      </c>
      <c r="U6" s="634"/>
      <c r="V6" s="634"/>
      <c r="W6" s="634" t="s">
        <v>312</v>
      </c>
      <c r="X6" s="634"/>
      <c r="Y6" s="17"/>
      <c r="Z6" s="629"/>
      <c r="AA6" s="637"/>
      <c r="AB6" s="80"/>
      <c r="AC6" s="629"/>
      <c r="AD6" s="631"/>
      <c r="AE6" s="631"/>
      <c r="AF6" s="631"/>
      <c r="AG6" s="631"/>
    </row>
    <row r="7" spans="1:37" s="18" customFormat="1" ht="23.25" customHeight="1">
      <c r="A7" s="633"/>
      <c r="B7" s="633"/>
      <c r="C7" s="629"/>
      <c r="D7" s="633"/>
      <c r="E7" s="633"/>
      <c r="F7" s="633" t="s">
        <v>34</v>
      </c>
      <c r="G7" s="633" t="s">
        <v>35</v>
      </c>
      <c r="H7" s="633"/>
      <c r="I7" s="633" t="s">
        <v>34</v>
      </c>
      <c r="J7" s="633" t="s">
        <v>35</v>
      </c>
      <c r="K7" s="633"/>
      <c r="L7" s="633" t="s">
        <v>36</v>
      </c>
      <c r="M7" s="633"/>
      <c r="N7" s="633" t="s">
        <v>36</v>
      </c>
      <c r="O7" s="633"/>
      <c r="P7" s="633"/>
      <c r="Q7" s="12" t="s">
        <v>296</v>
      </c>
      <c r="R7" s="12"/>
      <c r="S7" s="12"/>
      <c r="T7" s="634" t="s">
        <v>273</v>
      </c>
      <c r="U7" s="634" t="s">
        <v>275</v>
      </c>
      <c r="V7" s="634"/>
      <c r="W7" s="634" t="s">
        <v>308</v>
      </c>
      <c r="X7" s="634" t="s">
        <v>279</v>
      </c>
      <c r="Y7" s="17"/>
      <c r="Z7" s="629"/>
      <c r="AA7" s="637"/>
      <c r="AB7" s="80"/>
      <c r="AC7" s="629"/>
      <c r="AD7" s="631"/>
      <c r="AE7" s="631"/>
      <c r="AF7" s="631"/>
      <c r="AG7" s="631"/>
      <c r="AH7" s="639"/>
      <c r="AI7" s="638"/>
      <c r="AJ7" s="638"/>
      <c r="AK7" s="638"/>
    </row>
    <row r="8" spans="1:33" s="18" customFormat="1" ht="32.25" customHeight="1">
      <c r="A8" s="633"/>
      <c r="B8" s="633"/>
      <c r="C8" s="629"/>
      <c r="D8" s="633"/>
      <c r="E8" s="633"/>
      <c r="F8" s="633"/>
      <c r="G8" s="633" t="s">
        <v>37</v>
      </c>
      <c r="H8" s="633" t="s">
        <v>296</v>
      </c>
      <c r="I8" s="633"/>
      <c r="J8" s="633" t="s">
        <v>37</v>
      </c>
      <c r="K8" s="633" t="s">
        <v>299</v>
      </c>
      <c r="L8" s="633" t="s">
        <v>37</v>
      </c>
      <c r="M8" s="633" t="s">
        <v>299</v>
      </c>
      <c r="N8" s="633" t="s">
        <v>37</v>
      </c>
      <c r="O8" s="633" t="s">
        <v>299</v>
      </c>
      <c r="P8" s="633"/>
      <c r="Q8" s="12" t="s">
        <v>36</v>
      </c>
      <c r="R8" s="12" t="s">
        <v>300</v>
      </c>
      <c r="S8" s="13" t="s">
        <v>38</v>
      </c>
      <c r="T8" s="634"/>
      <c r="U8" s="634" t="s">
        <v>31</v>
      </c>
      <c r="V8" s="634" t="s">
        <v>279</v>
      </c>
      <c r="W8" s="634"/>
      <c r="X8" s="634"/>
      <c r="Y8" s="17"/>
      <c r="Z8" s="629"/>
      <c r="AA8" s="637"/>
      <c r="AB8" s="80"/>
      <c r="AC8" s="629"/>
      <c r="AD8" s="631"/>
      <c r="AE8" s="631"/>
      <c r="AF8" s="631"/>
      <c r="AG8" s="631"/>
    </row>
    <row r="9" spans="1:33" s="19" customFormat="1" ht="23.25" customHeight="1">
      <c r="A9" s="633"/>
      <c r="B9" s="633"/>
      <c r="C9" s="629"/>
      <c r="D9" s="633"/>
      <c r="E9" s="633"/>
      <c r="F9" s="633"/>
      <c r="G9" s="633"/>
      <c r="H9" s="633"/>
      <c r="I9" s="633"/>
      <c r="J9" s="633"/>
      <c r="K9" s="633"/>
      <c r="L9" s="633"/>
      <c r="M9" s="633"/>
      <c r="N9" s="633"/>
      <c r="O9" s="633"/>
      <c r="P9" s="633"/>
      <c r="Q9" s="12"/>
      <c r="R9" s="12"/>
      <c r="S9" s="13"/>
      <c r="T9" s="634"/>
      <c r="U9" s="634"/>
      <c r="V9" s="634"/>
      <c r="W9" s="634"/>
      <c r="X9" s="634"/>
      <c r="Y9" s="17"/>
      <c r="Z9" s="629"/>
      <c r="AA9" s="637"/>
      <c r="AB9" s="80"/>
      <c r="AC9" s="629"/>
      <c r="AD9" s="632"/>
      <c r="AE9" s="632"/>
      <c r="AF9" s="632"/>
      <c r="AG9" s="632"/>
    </row>
    <row r="10" spans="1:33" s="18" customFormat="1" ht="15.75" customHeight="1" hidden="1">
      <c r="A10" s="633"/>
      <c r="B10" s="633"/>
      <c r="C10" s="629"/>
      <c r="D10" s="633"/>
      <c r="E10" s="633"/>
      <c r="F10" s="633"/>
      <c r="G10" s="633"/>
      <c r="H10" s="633"/>
      <c r="I10" s="633"/>
      <c r="J10" s="633"/>
      <c r="K10" s="633"/>
      <c r="L10" s="633"/>
      <c r="M10" s="633"/>
      <c r="N10" s="633"/>
      <c r="O10" s="633"/>
      <c r="P10" s="20"/>
      <c r="Q10" s="20"/>
      <c r="R10" s="21"/>
      <c r="S10" s="22"/>
      <c r="T10" s="634"/>
      <c r="U10" s="634"/>
      <c r="V10" s="23"/>
      <c r="W10" s="23"/>
      <c r="X10" s="23"/>
      <c r="Y10" s="23"/>
      <c r="Z10" s="629"/>
      <c r="AA10" s="637"/>
      <c r="AB10" s="80"/>
      <c r="AC10" s="13"/>
      <c r="AD10" s="13"/>
      <c r="AE10" s="13"/>
      <c r="AF10" s="13"/>
      <c r="AG10" s="22"/>
    </row>
    <row r="11" spans="1:33" s="18" customFormat="1" ht="15.75" customHeight="1" hidden="1">
      <c r="A11" s="633"/>
      <c r="B11" s="633"/>
      <c r="C11" s="629"/>
      <c r="D11" s="633"/>
      <c r="E11" s="633"/>
      <c r="F11" s="633"/>
      <c r="G11" s="633"/>
      <c r="H11" s="633"/>
      <c r="I11" s="633"/>
      <c r="J11" s="633"/>
      <c r="K11" s="633"/>
      <c r="L11" s="633"/>
      <c r="M11" s="633"/>
      <c r="N11" s="633"/>
      <c r="O11" s="633"/>
      <c r="P11" s="20"/>
      <c r="Q11" s="20"/>
      <c r="R11" s="21"/>
      <c r="S11" s="22"/>
      <c r="T11" s="634"/>
      <c r="U11" s="634"/>
      <c r="V11" s="24"/>
      <c r="W11" s="24"/>
      <c r="X11" s="24"/>
      <c r="Y11" s="24"/>
      <c r="Z11" s="629"/>
      <c r="AA11" s="637"/>
      <c r="AB11" s="80"/>
      <c r="AC11" s="13"/>
      <c r="AD11" s="13"/>
      <c r="AE11" s="13"/>
      <c r="AF11" s="13"/>
      <c r="AG11" s="22"/>
    </row>
    <row r="12" spans="1:33" s="31" customFormat="1" ht="20.25" customHeight="1">
      <c r="A12" s="25">
        <v>1</v>
      </c>
      <c r="B12" s="25">
        <v>2</v>
      </c>
      <c r="C12" s="26">
        <v>3</v>
      </c>
      <c r="D12" s="25">
        <v>4</v>
      </c>
      <c r="E12" s="25">
        <v>4</v>
      </c>
      <c r="F12" s="25">
        <v>5</v>
      </c>
      <c r="G12" s="25">
        <v>6</v>
      </c>
      <c r="H12" s="25">
        <v>7</v>
      </c>
      <c r="I12" s="25">
        <v>9</v>
      </c>
      <c r="J12" s="25">
        <v>10</v>
      </c>
      <c r="K12" s="25">
        <v>11</v>
      </c>
      <c r="L12" s="25">
        <v>12</v>
      </c>
      <c r="M12" s="25">
        <v>13</v>
      </c>
      <c r="N12" s="25">
        <v>8</v>
      </c>
      <c r="O12" s="25">
        <v>9</v>
      </c>
      <c r="P12" s="27">
        <v>10</v>
      </c>
      <c r="Q12" s="25">
        <v>18</v>
      </c>
      <c r="R12" s="25">
        <v>19</v>
      </c>
      <c r="S12" s="25">
        <v>20</v>
      </c>
      <c r="T12" s="28">
        <v>11</v>
      </c>
      <c r="U12" s="28">
        <v>12</v>
      </c>
      <c r="V12" s="28">
        <v>13</v>
      </c>
      <c r="W12" s="28">
        <v>14</v>
      </c>
      <c r="X12" s="28">
        <v>15</v>
      </c>
      <c r="Y12" s="28"/>
      <c r="Z12" s="26">
        <v>16</v>
      </c>
      <c r="AA12" s="29"/>
      <c r="AB12" s="29"/>
      <c r="AC12" s="26"/>
      <c r="AD12" s="26"/>
      <c r="AE12" s="26"/>
      <c r="AF12" s="26"/>
      <c r="AG12" s="30"/>
    </row>
    <row r="13" spans="1:33" s="35" customFormat="1" ht="17.25" customHeight="1">
      <c r="A13" s="45"/>
      <c r="B13" s="45" t="s">
        <v>310</v>
      </c>
      <c r="C13" s="67"/>
      <c r="D13" s="67"/>
      <c r="E13" s="67"/>
      <c r="F13" s="67"/>
      <c r="G13" s="68"/>
      <c r="H13" s="68"/>
      <c r="I13" s="68"/>
      <c r="J13" s="68"/>
      <c r="K13" s="68"/>
      <c r="L13" s="68"/>
      <c r="M13" s="68"/>
      <c r="N13" s="68"/>
      <c r="O13" s="68"/>
      <c r="P13" s="68"/>
      <c r="Q13" s="68"/>
      <c r="R13" s="68"/>
      <c r="S13" s="68"/>
      <c r="T13" s="145">
        <f>T21+T27</f>
        <v>53978</v>
      </c>
      <c r="U13" s="145">
        <f>U21+U27</f>
        <v>53978</v>
      </c>
      <c r="V13" s="145">
        <f>V21+V27</f>
        <v>0</v>
      </c>
      <c r="W13" s="145">
        <f>W21+W27</f>
        <v>12750</v>
      </c>
      <c r="X13" s="68"/>
      <c r="Y13" s="68"/>
      <c r="Z13" s="33"/>
      <c r="AA13" s="32">
        <v>12749.5</v>
      </c>
      <c r="AB13" s="32">
        <f>+W13-AA13</f>
        <v>0.5</v>
      </c>
      <c r="AC13" s="33"/>
      <c r="AD13" s="33"/>
      <c r="AE13" s="33"/>
      <c r="AF13" s="33"/>
      <c r="AG13" s="34"/>
    </row>
    <row r="14" spans="1:33" s="35" customFormat="1" ht="14.25" customHeight="1" hidden="1">
      <c r="A14" s="45"/>
      <c r="B14" s="34" t="s">
        <v>325</v>
      </c>
      <c r="C14" s="67"/>
      <c r="D14" s="67"/>
      <c r="E14" s="67"/>
      <c r="F14" s="67"/>
      <c r="G14" s="69"/>
      <c r="H14" s="69"/>
      <c r="I14" s="69"/>
      <c r="J14" s="69"/>
      <c r="K14" s="69"/>
      <c r="L14" s="69"/>
      <c r="M14" s="69"/>
      <c r="N14" s="69"/>
      <c r="O14" s="69"/>
      <c r="P14" s="70"/>
      <c r="Q14" s="69"/>
      <c r="R14" s="69"/>
      <c r="S14" s="69"/>
      <c r="T14" s="145"/>
      <c r="U14" s="145"/>
      <c r="V14" s="145"/>
      <c r="W14" s="145"/>
      <c r="X14" s="68"/>
      <c r="Y14" s="68"/>
      <c r="Z14" s="33"/>
      <c r="AA14" s="32"/>
      <c r="AB14" s="32">
        <f aca="true" t="shared" si="0" ref="AB14:AB31">+W14-AA14</f>
        <v>0</v>
      </c>
      <c r="AC14" s="33"/>
      <c r="AD14" s="33"/>
      <c r="AE14" s="33"/>
      <c r="AF14" s="33"/>
      <c r="AG14" s="34"/>
    </row>
    <row r="15" spans="1:33" s="35" customFormat="1" ht="15.75" customHeight="1" hidden="1">
      <c r="A15" s="45"/>
      <c r="B15" s="34" t="s">
        <v>54</v>
      </c>
      <c r="C15" s="67"/>
      <c r="D15" s="67"/>
      <c r="E15" s="67"/>
      <c r="F15" s="67"/>
      <c r="G15" s="69"/>
      <c r="H15" s="69"/>
      <c r="I15" s="69"/>
      <c r="J15" s="69"/>
      <c r="K15" s="69"/>
      <c r="L15" s="69"/>
      <c r="M15" s="69"/>
      <c r="N15" s="69"/>
      <c r="O15" s="69"/>
      <c r="P15" s="70"/>
      <c r="Q15" s="69"/>
      <c r="R15" s="69"/>
      <c r="S15" s="69"/>
      <c r="T15" s="145"/>
      <c r="U15" s="145"/>
      <c r="V15" s="145"/>
      <c r="W15" s="145"/>
      <c r="X15" s="68"/>
      <c r="Y15" s="68"/>
      <c r="Z15" s="33"/>
      <c r="AA15" s="32"/>
      <c r="AB15" s="32">
        <f t="shared" si="0"/>
        <v>0</v>
      </c>
      <c r="AC15" s="33"/>
      <c r="AD15" s="33"/>
      <c r="AE15" s="33"/>
      <c r="AF15" s="33"/>
      <c r="AG15" s="34"/>
    </row>
    <row r="16" spans="1:33" s="35" customFormat="1" ht="18" customHeight="1" hidden="1">
      <c r="A16" s="45"/>
      <c r="B16" s="34" t="s">
        <v>408</v>
      </c>
      <c r="C16" s="67"/>
      <c r="D16" s="67"/>
      <c r="E16" s="67"/>
      <c r="F16" s="67"/>
      <c r="G16" s="69"/>
      <c r="H16" s="69"/>
      <c r="I16" s="69"/>
      <c r="J16" s="69"/>
      <c r="K16" s="69"/>
      <c r="L16" s="69"/>
      <c r="M16" s="69"/>
      <c r="N16" s="69"/>
      <c r="O16" s="69"/>
      <c r="P16" s="70"/>
      <c r="Q16" s="69"/>
      <c r="R16" s="69"/>
      <c r="S16" s="69"/>
      <c r="T16" s="145"/>
      <c r="U16" s="145"/>
      <c r="V16" s="145"/>
      <c r="W16" s="145"/>
      <c r="X16" s="68"/>
      <c r="Y16" s="68"/>
      <c r="Z16" s="33"/>
      <c r="AA16" s="32"/>
      <c r="AB16" s="32">
        <f t="shared" si="0"/>
        <v>0</v>
      </c>
      <c r="AC16" s="33"/>
      <c r="AD16" s="33"/>
      <c r="AE16" s="33"/>
      <c r="AF16" s="33"/>
      <c r="AG16" s="34"/>
    </row>
    <row r="17" spans="1:34" s="35" customFormat="1" ht="110.25" customHeight="1" hidden="1">
      <c r="A17" s="45"/>
      <c r="B17" s="34" t="s">
        <v>407</v>
      </c>
      <c r="C17" s="67"/>
      <c r="D17" s="67"/>
      <c r="E17" s="67"/>
      <c r="F17" s="67"/>
      <c r="G17" s="69"/>
      <c r="H17" s="69"/>
      <c r="I17" s="69"/>
      <c r="J17" s="69"/>
      <c r="K17" s="69"/>
      <c r="L17" s="69"/>
      <c r="M17" s="69"/>
      <c r="N17" s="69"/>
      <c r="O17" s="69"/>
      <c r="P17" s="70"/>
      <c r="Q17" s="69"/>
      <c r="R17" s="69"/>
      <c r="S17" s="69"/>
      <c r="T17" s="145"/>
      <c r="U17" s="145"/>
      <c r="V17" s="145"/>
      <c r="W17" s="145"/>
      <c r="X17" s="648" t="s">
        <v>472</v>
      </c>
      <c r="Y17" s="648"/>
      <c r="Z17" s="648"/>
      <c r="AA17" s="65"/>
      <c r="AB17" s="32">
        <f t="shared" si="0"/>
        <v>0</v>
      </c>
      <c r="AC17" s="37"/>
      <c r="AD17" s="37"/>
      <c r="AE17" s="37"/>
      <c r="AF17" s="37"/>
      <c r="AG17" s="34">
        <v>64898</v>
      </c>
      <c r="AH17" s="35">
        <f>W17-AG17</f>
        <v>-64898</v>
      </c>
    </row>
    <row r="18" spans="1:33" s="35" customFormat="1" ht="20.25" customHeight="1" hidden="1">
      <c r="A18" s="45"/>
      <c r="B18" s="34" t="s">
        <v>53</v>
      </c>
      <c r="C18" s="67"/>
      <c r="D18" s="67"/>
      <c r="E18" s="67"/>
      <c r="F18" s="67"/>
      <c r="G18" s="69"/>
      <c r="H18" s="69"/>
      <c r="I18" s="69"/>
      <c r="J18" s="69"/>
      <c r="K18" s="69"/>
      <c r="L18" s="69"/>
      <c r="M18" s="69"/>
      <c r="N18" s="69"/>
      <c r="O18" s="69"/>
      <c r="P18" s="70"/>
      <c r="Q18" s="69"/>
      <c r="R18" s="69"/>
      <c r="S18" s="69"/>
      <c r="T18" s="145"/>
      <c r="U18" s="145"/>
      <c r="V18" s="145"/>
      <c r="W18" s="145"/>
      <c r="X18" s="68"/>
      <c r="Y18" s="68"/>
      <c r="Z18" s="33"/>
      <c r="AA18" s="32"/>
      <c r="AB18" s="32">
        <f t="shared" si="0"/>
        <v>0</v>
      </c>
      <c r="AC18" s="33"/>
      <c r="AD18" s="33"/>
      <c r="AE18" s="33"/>
      <c r="AF18" s="33"/>
      <c r="AG18" s="34"/>
    </row>
    <row r="19" spans="1:33" s="35" customFormat="1" ht="20.25" customHeight="1" hidden="1">
      <c r="A19" s="45"/>
      <c r="B19" s="34" t="s">
        <v>412</v>
      </c>
      <c r="C19" s="67"/>
      <c r="D19" s="67"/>
      <c r="E19" s="67"/>
      <c r="F19" s="67"/>
      <c r="G19" s="69"/>
      <c r="H19" s="69"/>
      <c r="I19" s="69"/>
      <c r="J19" s="69"/>
      <c r="K19" s="69"/>
      <c r="L19" s="69"/>
      <c r="M19" s="69"/>
      <c r="N19" s="69"/>
      <c r="O19" s="69"/>
      <c r="P19" s="70"/>
      <c r="Q19" s="69"/>
      <c r="R19" s="69"/>
      <c r="S19" s="69"/>
      <c r="T19" s="145"/>
      <c r="U19" s="145"/>
      <c r="V19" s="145"/>
      <c r="W19" s="145"/>
      <c r="X19" s="68"/>
      <c r="Y19" s="68"/>
      <c r="Z19" s="33"/>
      <c r="AA19" s="32"/>
      <c r="AB19" s="32">
        <f t="shared" si="0"/>
        <v>0</v>
      </c>
      <c r="AC19" s="33"/>
      <c r="AD19" s="33"/>
      <c r="AE19" s="33"/>
      <c r="AF19" s="33"/>
      <c r="AG19" s="34"/>
    </row>
    <row r="20" spans="1:33" s="38" customFormat="1" ht="15.75" customHeight="1" hidden="1">
      <c r="A20" s="45"/>
      <c r="B20" s="34" t="s">
        <v>324</v>
      </c>
      <c r="C20" s="26"/>
      <c r="D20" s="26"/>
      <c r="E20" s="26"/>
      <c r="F20" s="26"/>
      <c r="G20" s="71"/>
      <c r="H20" s="71"/>
      <c r="I20" s="71"/>
      <c r="J20" s="71"/>
      <c r="K20" s="71"/>
      <c r="L20" s="71"/>
      <c r="M20" s="71"/>
      <c r="N20" s="71"/>
      <c r="O20" s="71"/>
      <c r="P20" s="72"/>
      <c r="Q20" s="71"/>
      <c r="R20" s="71"/>
      <c r="S20" s="71"/>
      <c r="T20" s="145"/>
      <c r="U20" s="145"/>
      <c r="V20" s="145"/>
      <c r="W20" s="145"/>
      <c r="X20" s="73"/>
      <c r="Y20" s="73"/>
      <c r="Z20" s="37"/>
      <c r="AA20" s="36"/>
      <c r="AB20" s="32">
        <f t="shared" si="0"/>
        <v>0</v>
      </c>
      <c r="AC20" s="37"/>
      <c r="AD20" s="37"/>
      <c r="AE20" s="37"/>
      <c r="AF20" s="37"/>
      <c r="AG20" s="24"/>
    </row>
    <row r="21" spans="1:33" s="35" customFormat="1" ht="18.75" customHeight="1">
      <c r="A21" s="45" t="s">
        <v>41</v>
      </c>
      <c r="B21" s="34" t="s">
        <v>337</v>
      </c>
      <c r="C21" s="67"/>
      <c r="D21" s="67"/>
      <c r="E21" s="67"/>
      <c r="F21" s="67"/>
      <c r="G21" s="69"/>
      <c r="H21" s="69"/>
      <c r="I21" s="69"/>
      <c r="J21" s="69"/>
      <c r="K21" s="69"/>
      <c r="L21" s="69"/>
      <c r="M21" s="69"/>
      <c r="N21" s="69"/>
      <c r="O21" s="69"/>
      <c r="P21" s="70"/>
      <c r="Q21" s="69"/>
      <c r="R21" s="69"/>
      <c r="S21" s="69"/>
      <c r="T21" s="145">
        <f>SUM(T22:T26)</f>
        <v>18200</v>
      </c>
      <c r="U21" s="145">
        <f>SUM(U22:U26)</f>
        <v>18200</v>
      </c>
      <c r="V21" s="145">
        <f>SUM(V22:V26)</f>
        <v>0</v>
      </c>
      <c r="W21" s="145">
        <f>SUM(W22:W26)</f>
        <v>332</v>
      </c>
      <c r="X21" s="68"/>
      <c r="Y21" s="68">
        <f>SUM(Y27:Y28)</f>
        <v>0</v>
      </c>
      <c r="Z21" s="33"/>
      <c r="AA21" s="32">
        <v>253.5</v>
      </c>
      <c r="AB21" s="32">
        <f t="shared" si="0"/>
        <v>78.5</v>
      </c>
      <c r="AC21" s="33"/>
      <c r="AD21" s="33"/>
      <c r="AE21" s="33"/>
      <c r="AF21" s="33"/>
      <c r="AG21" s="34"/>
    </row>
    <row r="22" spans="1:239" s="100" customFormat="1" ht="32.25" customHeight="1">
      <c r="A22" s="146">
        <v>1</v>
      </c>
      <c r="B22" s="147" t="s">
        <v>853</v>
      </c>
      <c r="C22" s="148" t="s">
        <v>393</v>
      </c>
      <c r="D22" s="146"/>
      <c r="E22" s="149"/>
      <c r="F22" s="146"/>
      <c r="G22" s="144"/>
      <c r="H22" s="144"/>
      <c r="I22" s="144"/>
      <c r="J22" s="144"/>
      <c r="K22" s="144"/>
      <c r="L22" s="144"/>
      <c r="M22" s="144"/>
      <c r="N22" s="144"/>
      <c r="O22" s="144"/>
      <c r="P22" s="144"/>
      <c r="Q22" s="144"/>
      <c r="R22" s="144"/>
      <c r="S22" s="144"/>
      <c r="T22" s="144">
        <f>U22</f>
        <v>2200</v>
      </c>
      <c r="U22" s="144">
        <v>2200</v>
      </c>
      <c r="V22" s="144"/>
      <c r="W22" s="144">
        <f>U22*3/100-4</f>
        <v>62</v>
      </c>
      <c r="X22" s="144"/>
      <c r="Y22" s="144"/>
      <c r="Z22" s="155" t="s">
        <v>866</v>
      </c>
      <c r="AA22" s="95">
        <v>170</v>
      </c>
      <c r="AB22" s="150">
        <f t="shared" si="0"/>
        <v>-108</v>
      </c>
      <c r="AC22" s="96"/>
      <c r="AD22" s="97">
        <f>U22-W22</f>
        <v>2138</v>
      </c>
      <c r="AE22" s="97"/>
      <c r="AF22" s="97"/>
      <c r="AG22" s="98">
        <f>V22-X22</f>
        <v>0</v>
      </c>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row>
    <row r="23" spans="1:239" s="100" customFormat="1" ht="32.25" customHeight="1">
      <c r="A23" s="146">
        <v>2</v>
      </c>
      <c r="B23" s="151" t="s">
        <v>854</v>
      </c>
      <c r="C23" s="148" t="s">
        <v>66</v>
      </c>
      <c r="D23" s="146"/>
      <c r="E23" s="149"/>
      <c r="F23" s="146"/>
      <c r="G23" s="144"/>
      <c r="H23" s="144"/>
      <c r="I23" s="144"/>
      <c r="J23" s="144"/>
      <c r="K23" s="144"/>
      <c r="L23" s="144"/>
      <c r="M23" s="144"/>
      <c r="N23" s="144"/>
      <c r="O23" s="144"/>
      <c r="P23" s="144"/>
      <c r="Q23" s="144"/>
      <c r="R23" s="144"/>
      <c r="S23" s="144"/>
      <c r="T23" s="144">
        <f>U23</f>
        <v>2000</v>
      </c>
      <c r="U23" s="144">
        <v>2000</v>
      </c>
      <c r="V23" s="144"/>
      <c r="W23" s="144">
        <f>U23*3/100-5</f>
        <v>55</v>
      </c>
      <c r="X23" s="144"/>
      <c r="Y23" s="144"/>
      <c r="Z23" s="155" t="s">
        <v>866</v>
      </c>
      <c r="AA23" s="95"/>
      <c r="AB23" s="150"/>
      <c r="AC23" s="96"/>
      <c r="AD23" s="97"/>
      <c r="AE23" s="97"/>
      <c r="AF23" s="97"/>
      <c r="AG23" s="98"/>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row>
    <row r="24" spans="1:239" s="100" customFormat="1" ht="32.25" customHeight="1">
      <c r="A24" s="146">
        <v>3</v>
      </c>
      <c r="B24" s="151" t="s">
        <v>855</v>
      </c>
      <c r="C24" s="148" t="s">
        <v>66</v>
      </c>
      <c r="D24" s="146"/>
      <c r="E24" s="149"/>
      <c r="F24" s="146"/>
      <c r="G24" s="144"/>
      <c r="H24" s="144"/>
      <c r="I24" s="144"/>
      <c r="J24" s="144"/>
      <c r="K24" s="144"/>
      <c r="L24" s="144"/>
      <c r="M24" s="144"/>
      <c r="N24" s="144"/>
      <c r="O24" s="144"/>
      <c r="P24" s="144"/>
      <c r="Q24" s="144"/>
      <c r="R24" s="144"/>
      <c r="S24" s="144"/>
      <c r="T24" s="144">
        <f>U24</f>
        <v>6000</v>
      </c>
      <c r="U24" s="144">
        <v>6000</v>
      </c>
      <c r="V24" s="144"/>
      <c r="W24" s="144">
        <v>80</v>
      </c>
      <c r="X24" s="144"/>
      <c r="Y24" s="144"/>
      <c r="Z24" s="155" t="s">
        <v>866</v>
      </c>
      <c r="AA24" s="95"/>
      <c r="AB24" s="150"/>
      <c r="AC24" s="96"/>
      <c r="AD24" s="97"/>
      <c r="AE24" s="97"/>
      <c r="AF24" s="97"/>
      <c r="AG24" s="98"/>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row>
    <row r="25" spans="1:239" s="100" customFormat="1" ht="37.5" customHeight="1">
      <c r="A25" s="146">
        <v>4</v>
      </c>
      <c r="B25" s="151" t="s">
        <v>856</v>
      </c>
      <c r="C25" s="148" t="s">
        <v>66</v>
      </c>
      <c r="D25" s="146"/>
      <c r="E25" s="149"/>
      <c r="F25" s="146"/>
      <c r="G25" s="144"/>
      <c r="H25" s="144"/>
      <c r="I25" s="144"/>
      <c r="J25" s="144"/>
      <c r="K25" s="144"/>
      <c r="L25" s="144"/>
      <c r="M25" s="144"/>
      <c r="N25" s="144"/>
      <c r="O25" s="144"/>
      <c r="P25" s="144"/>
      <c r="Q25" s="144"/>
      <c r="R25" s="144"/>
      <c r="S25" s="144"/>
      <c r="T25" s="144">
        <f>U25</f>
        <v>6000</v>
      </c>
      <c r="U25" s="144">
        <v>6000</v>
      </c>
      <c r="V25" s="144"/>
      <c r="W25" s="144">
        <v>80</v>
      </c>
      <c r="X25" s="144"/>
      <c r="Y25" s="144"/>
      <c r="Z25" s="155" t="s">
        <v>866</v>
      </c>
      <c r="AA25" s="95">
        <v>55</v>
      </c>
      <c r="AB25" s="150">
        <f t="shared" si="0"/>
        <v>25</v>
      </c>
      <c r="AC25" s="96"/>
      <c r="AD25" s="97"/>
      <c r="AE25" s="97"/>
      <c r="AF25" s="97"/>
      <c r="AG25" s="98"/>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row>
    <row r="26" spans="1:239" s="100" customFormat="1" ht="27.75" customHeight="1">
      <c r="A26" s="146">
        <v>5</v>
      </c>
      <c r="B26" s="151" t="s">
        <v>857</v>
      </c>
      <c r="C26" s="148" t="s">
        <v>12</v>
      </c>
      <c r="D26" s="146"/>
      <c r="E26" s="149"/>
      <c r="F26" s="146"/>
      <c r="G26" s="144"/>
      <c r="H26" s="144"/>
      <c r="I26" s="144"/>
      <c r="J26" s="144"/>
      <c r="K26" s="144"/>
      <c r="L26" s="144"/>
      <c r="M26" s="144"/>
      <c r="N26" s="144"/>
      <c r="O26" s="144"/>
      <c r="P26" s="144"/>
      <c r="Q26" s="144"/>
      <c r="R26" s="144"/>
      <c r="S26" s="144"/>
      <c r="T26" s="144">
        <f>U26</f>
        <v>2000</v>
      </c>
      <c r="U26" s="144">
        <v>2000</v>
      </c>
      <c r="V26" s="144"/>
      <c r="W26" s="144">
        <f>U26*3/100-5</f>
        <v>55</v>
      </c>
      <c r="X26" s="144"/>
      <c r="Y26" s="144"/>
      <c r="Z26" s="155" t="s">
        <v>866</v>
      </c>
      <c r="AA26" s="95">
        <v>28.5</v>
      </c>
      <c r="AB26" s="150">
        <f t="shared" si="0"/>
        <v>26.5</v>
      </c>
      <c r="AC26" s="96"/>
      <c r="AD26" s="97"/>
      <c r="AE26" s="97"/>
      <c r="AF26" s="97"/>
      <c r="AG26" s="98"/>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row>
    <row r="27" spans="1:239" s="39" customFormat="1" ht="27" customHeight="1">
      <c r="A27" s="86" t="s">
        <v>43</v>
      </c>
      <c r="B27" s="74" t="s">
        <v>350</v>
      </c>
      <c r="C27" s="67"/>
      <c r="D27" s="67"/>
      <c r="E27" s="75"/>
      <c r="F27" s="67"/>
      <c r="G27" s="69"/>
      <c r="H27" s="69"/>
      <c r="I27" s="69"/>
      <c r="J27" s="69"/>
      <c r="K27" s="69"/>
      <c r="L27" s="69"/>
      <c r="M27" s="69"/>
      <c r="N27" s="69"/>
      <c r="O27" s="69"/>
      <c r="P27" s="69"/>
      <c r="Q27" s="69"/>
      <c r="R27" s="69"/>
      <c r="S27" s="69"/>
      <c r="T27" s="69">
        <f>SUM(T28:T32)</f>
        <v>35778</v>
      </c>
      <c r="U27" s="69">
        <f>SUM(U28:U32)</f>
        <v>35778</v>
      </c>
      <c r="V27" s="69">
        <f>SUM(V28:V32)</f>
        <v>0</v>
      </c>
      <c r="W27" s="69">
        <f>SUM(W28:W32)</f>
        <v>12418</v>
      </c>
      <c r="X27" s="69"/>
      <c r="Y27" s="69"/>
      <c r="Z27" s="45"/>
      <c r="AA27" s="44">
        <v>12496</v>
      </c>
      <c r="AB27" s="32">
        <f t="shared" si="0"/>
        <v>-78</v>
      </c>
      <c r="AC27" s="45"/>
      <c r="AD27" s="37">
        <f>U27-W27</f>
        <v>23360</v>
      </c>
      <c r="AE27" s="37"/>
      <c r="AF27" s="37"/>
      <c r="AG27" s="24">
        <f>V27-X27</f>
        <v>0</v>
      </c>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row>
    <row r="28" spans="1:239" s="40" customFormat="1" ht="41.25" customHeight="1">
      <c r="A28" s="76">
        <v>1</v>
      </c>
      <c r="B28" s="77" t="s">
        <v>471</v>
      </c>
      <c r="C28" s="13" t="s">
        <v>12</v>
      </c>
      <c r="D28" s="26"/>
      <c r="E28" s="75" t="s">
        <v>372</v>
      </c>
      <c r="F28" s="26" t="s">
        <v>401</v>
      </c>
      <c r="G28" s="71">
        <v>4500</v>
      </c>
      <c r="H28" s="71">
        <v>4500</v>
      </c>
      <c r="I28" s="71"/>
      <c r="J28" s="71"/>
      <c r="K28" s="71"/>
      <c r="L28" s="71"/>
      <c r="M28" s="71"/>
      <c r="N28" s="71"/>
      <c r="O28" s="71"/>
      <c r="P28" s="71"/>
      <c r="Q28" s="71"/>
      <c r="R28" s="71"/>
      <c r="S28" s="71"/>
      <c r="T28" s="71">
        <v>4500</v>
      </c>
      <c r="U28" s="71">
        <v>4500</v>
      </c>
      <c r="V28" s="71"/>
      <c r="W28" s="71">
        <v>1575</v>
      </c>
      <c r="X28" s="71"/>
      <c r="Y28" s="71"/>
      <c r="Z28" s="13"/>
      <c r="AA28" s="42">
        <v>4500</v>
      </c>
      <c r="AB28" s="32">
        <f t="shared" si="0"/>
        <v>-2925</v>
      </c>
      <c r="AC28" s="13"/>
      <c r="AD28" s="37">
        <f>U28-W28</f>
        <v>2925</v>
      </c>
      <c r="AE28" s="37"/>
      <c r="AF28" s="37"/>
      <c r="AG28" s="24">
        <f>V28-X28</f>
        <v>0</v>
      </c>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row>
    <row r="29" spans="1:239" s="40" customFormat="1" ht="39" customHeight="1">
      <c r="A29" s="76">
        <v>2</v>
      </c>
      <c r="B29" s="77" t="s">
        <v>516</v>
      </c>
      <c r="C29" s="13" t="s">
        <v>66</v>
      </c>
      <c r="D29" s="26"/>
      <c r="E29" s="75"/>
      <c r="F29" s="154" t="s">
        <v>863</v>
      </c>
      <c r="G29" s="144">
        <v>13136</v>
      </c>
      <c r="H29" s="144">
        <v>13136</v>
      </c>
      <c r="I29" s="71"/>
      <c r="J29" s="71"/>
      <c r="K29" s="71"/>
      <c r="L29" s="71"/>
      <c r="M29" s="71"/>
      <c r="N29" s="71"/>
      <c r="O29" s="71"/>
      <c r="P29" s="71"/>
      <c r="Q29" s="71"/>
      <c r="R29" s="71"/>
      <c r="S29" s="71"/>
      <c r="T29" s="144">
        <v>13136</v>
      </c>
      <c r="U29" s="144">
        <v>13136</v>
      </c>
      <c r="V29" s="144"/>
      <c r="W29" s="144">
        <v>4494</v>
      </c>
      <c r="X29" s="71"/>
      <c r="Y29" s="71"/>
      <c r="Z29" s="13"/>
      <c r="AA29" s="42">
        <v>3150</v>
      </c>
      <c r="AB29" s="32">
        <f t="shared" si="0"/>
        <v>1344</v>
      </c>
      <c r="AC29" s="13"/>
      <c r="AD29" s="37"/>
      <c r="AE29" s="37"/>
      <c r="AF29" s="37"/>
      <c r="AG29" s="24"/>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row>
    <row r="30" spans="1:239" s="64" customFormat="1" ht="39.75" customHeight="1">
      <c r="A30" s="82">
        <v>3</v>
      </c>
      <c r="B30" s="83" t="s">
        <v>514</v>
      </c>
      <c r="C30" s="63" t="s">
        <v>393</v>
      </c>
      <c r="D30" s="84"/>
      <c r="E30" s="75" t="s">
        <v>372</v>
      </c>
      <c r="F30" s="154" t="s">
        <v>864</v>
      </c>
      <c r="G30" s="85">
        <f>T30</f>
        <v>12864</v>
      </c>
      <c r="H30" s="85">
        <f>G30</f>
        <v>12864</v>
      </c>
      <c r="I30" s="85"/>
      <c r="J30" s="85"/>
      <c r="K30" s="85"/>
      <c r="L30" s="85"/>
      <c r="M30" s="85"/>
      <c r="N30" s="85"/>
      <c r="O30" s="85"/>
      <c r="P30" s="85"/>
      <c r="Q30" s="85"/>
      <c r="R30" s="85"/>
      <c r="S30" s="85"/>
      <c r="T30" s="143">
        <v>12864</v>
      </c>
      <c r="U30" s="143">
        <v>12864</v>
      </c>
      <c r="V30" s="143"/>
      <c r="W30" s="143">
        <v>4502</v>
      </c>
      <c r="X30" s="85"/>
      <c r="Y30" s="85"/>
      <c r="Z30" s="63"/>
      <c r="AA30" s="62"/>
      <c r="AB30" s="78">
        <f t="shared" si="0"/>
        <v>4502</v>
      </c>
      <c r="AC30" s="63"/>
      <c r="AD30" s="46"/>
      <c r="AE30" s="46"/>
      <c r="AF30" s="46"/>
      <c r="AG30" s="47"/>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row>
    <row r="31" spans="1:239" s="40" customFormat="1" ht="50.25" customHeight="1">
      <c r="A31" s="76">
        <v>4</v>
      </c>
      <c r="B31" s="77" t="s">
        <v>515</v>
      </c>
      <c r="C31" s="26" t="s">
        <v>12</v>
      </c>
      <c r="D31" s="26"/>
      <c r="E31" s="75"/>
      <c r="F31" s="154" t="s">
        <v>865</v>
      </c>
      <c r="G31" s="71">
        <f>T31</f>
        <v>5278</v>
      </c>
      <c r="H31" s="71">
        <f>G31</f>
        <v>5278</v>
      </c>
      <c r="I31" s="71"/>
      <c r="J31" s="71"/>
      <c r="K31" s="71"/>
      <c r="L31" s="71"/>
      <c r="M31" s="71"/>
      <c r="N31" s="71"/>
      <c r="O31" s="71"/>
      <c r="P31" s="71"/>
      <c r="Q31" s="71"/>
      <c r="R31" s="71"/>
      <c r="S31" s="71"/>
      <c r="T31" s="144">
        <v>5278</v>
      </c>
      <c r="U31" s="144">
        <v>5278</v>
      </c>
      <c r="V31" s="144"/>
      <c r="W31" s="144">
        <v>1847</v>
      </c>
      <c r="X31" s="71"/>
      <c r="Y31" s="71"/>
      <c r="Z31" s="13" t="s">
        <v>59</v>
      </c>
      <c r="AA31" s="42">
        <v>2046</v>
      </c>
      <c r="AB31" s="32">
        <f t="shared" si="0"/>
        <v>-199</v>
      </c>
      <c r="AC31" s="13"/>
      <c r="AD31" s="37"/>
      <c r="AE31" s="37"/>
      <c r="AF31" s="37"/>
      <c r="AG31" s="24"/>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row>
    <row r="32" spans="1:33" s="41" customFormat="1" ht="12.75">
      <c r="A32" s="49"/>
      <c r="B32" s="50"/>
      <c r="C32" s="51"/>
      <c r="D32" s="52"/>
      <c r="E32" s="52"/>
      <c r="F32" s="52"/>
      <c r="T32" s="53"/>
      <c r="U32" s="53"/>
      <c r="V32" s="53"/>
      <c r="W32" s="53"/>
      <c r="X32" s="53"/>
      <c r="Y32" s="53"/>
      <c r="Z32" s="51"/>
      <c r="AA32" s="51"/>
      <c r="AB32" s="51"/>
      <c r="AC32" s="54"/>
      <c r="AD32" s="54"/>
      <c r="AE32" s="54"/>
      <c r="AF32" s="54"/>
      <c r="AG32" s="54"/>
    </row>
    <row r="33" spans="1:33" s="41" customFormat="1" ht="12.75">
      <c r="A33" s="49"/>
      <c r="B33" s="50"/>
      <c r="C33" s="51"/>
      <c r="D33" s="52"/>
      <c r="E33" s="52"/>
      <c r="F33" s="52"/>
      <c r="T33" s="53"/>
      <c r="U33" s="53"/>
      <c r="V33" s="53"/>
      <c r="W33" s="53"/>
      <c r="X33" s="53"/>
      <c r="Y33" s="53"/>
      <c r="Z33" s="51"/>
      <c r="AA33" s="51"/>
      <c r="AB33" s="51"/>
      <c r="AC33" s="54"/>
      <c r="AD33" s="54"/>
      <c r="AE33" s="54"/>
      <c r="AF33" s="54"/>
      <c r="AG33" s="54"/>
    </row>
    <row r="34" spans="1:33" s="41" customFormat="1" ht="12.75">
      <c r="A34" s="49"/>
      <c r="B34" s="50"/>
      <c r="C34" s="51"/>
      <c r="D34" s="52"/>
      <c r="E34" s="52"/>
      <c r="F34" s="52"/>
      <c r="T34" s="53"/>
      <c r="U34" s="53"/>
      <c r="V34" s="53"/>
      <c r="W34" s="53"/>
      <c r="X34" s="53"/>
      <c r="Y34" s="53"/>
      <c r="Z34" s="51"/>
      <c r="AA34" s="51"/>
      <c r="AB34" s="51"/>
      <c r="AC34" s="54"/>
      <c r="AD34" s="54"/>
      <c r="AE34" s="54"/>
      <c r="AF34" s="54"/>
      <c r="AG34" s="54"/>
    </row>
    <row r="35" spans="1:33" s="41" customFormat="1" ht="12.75">
      <c r="A35" s="49"/>
      <c r="B35" s="50"/>
      <c r="C35" s="51"/>
      <c r="D35" s="52"/>
      <c r="E35" s="52"/>
      <c r="F35" s="52"/>
      <c r="T35" s="53"/>
      <c r="U35" s="53"/>
      <c r="V35" s="53"/>
      <c r="W35" s="53"/>
      <c r="X35" s="53"/>
      <c r="Y35" s="53"/>
      <c r="Z35" s="51"/>
      <c r="AA35" s="51"/>
      <c r="AB35" s="51"/>
      <c r="AC35" s="54"/>
      <c r="AD35" s="54"/>
      <c r="AE35" s="54"/>
      <c r="AF35" s="54"/>
      <c r="AG35" s="54"/>
    </row>
    <row r="36" spans="1:33" s="41" customFormat="1" ht="12.75">
      <c r="A36" s="49"/>
      <c r="B36" s="50"/>
      <c r="C36" s="51"/>
      <c r="D36" s="52"/>
      <c r="E36" s="52"/>
      <c r="F36" s="52"/>
      <c r="T36" s="53"/>
      <c r="U36" s="53"/>
      <c r="V36" s="53"/>
      <c r="W36" s="53"/>
      <c r="X36" s="53"/>
      <c r="Y36" s="53"/>
      <c r="Z36" s="51"/>
      <c r="AA36" s="51"/>
      <c r="AB36" s="51"/>
      <c r="AC36" s="54"/>
      <c r="AD36" s="54"/>
      <c r="AE36" s="54"/>
      <c r="AF36" s="54"/>
      <c r="AG36" s="54"/>
    </row>
    <row r="37" spans="1:33" s="41" customFormat="1" ht="12.75">
      <c r="A37" s="49"/>
      <c r="B37" s="50"/>
      <c r="C37" s="51"/>
      <c r="D37" s="52"/>
      <c r="E37" s="52"/>
      <c r="F37" s="52"/>
      <c r="T37" s="53"/>
      <c r="U37" s="53"/>
      <c r="V37" s="53"/>
      <c r="W37" s="53"/>
      <c r="X37" s="53"/>
      <c r="Y37" s="53"/>
      <c r="Z37" s="51"/>
      <c r="AA37" s="51"/>
      <c r="AB37" s="51"/>
      <c r="AC37" s="54"/>
      <c r="AD37" s="54"/>
      <c r="AE37" s="54"/>
      <c r="AF37" s="54"/>
      <c r="AG37" s="54"/>
    </row>
    <row r="38" spans="1:33" s="41" customFormat="1" ht="12.75">
      <c r="A38" s="49"/>
      <c r="B38" s="50"/>
      <c r="C38" s="51"/>
      <c r="D38" s="52"/>
      <c r="E38" s="52"/>
      <c r="F38" s="52"/>
      <c r="T38" s="53"/>
      <c r="U38" s="53"/>
      <c r="V38" s="53"/>
      <c r="W38" s="53"/>
      <c r="X38" s="53"/>
      <c r="Y38" s="53"/>
      <c r="Z38" s="51"/>
      <c r="AA38" s="51"/>
      <c r="AB38" s="51"/>
      <c r="AC38" s="54"/>
      <c r="AD38" s="54"/>
      <c r="AE38" s="54"/>
      <c r="AF38" s="54"/>
      <c r="AG38" s="54"/>
    </row>
    <row r="39" spans="1:33" s="41" customFormat="1" ht="12.75">
      <c r="A39" s="49"/>
      <c r="B39" s="50"/>
      <c r="C39" s="51"/>
      <c r="D39" s="52"/>
      <c r="E39" s="52"/>
      <c r="F39" s="52"/>
      <c r="T39" s="53"/>
      <c r="U39" s="53"/>
      <c r="V39" s="53"/>
      <c r="W39" s="53"/>
      <c r="X39" s="53"/>
      <c r="Y39" s="53"/>
      <c r="Z39" s="51"/>
      <c r="AA39" s="51"/>
      <c r="AB39" s="51"/>
      <c r="AC39" s="54"/>
      <c r="AD39" s="54"/>
      <c r="AE39" s="54"/>
      <c r="AF39" s="54"/>
      <c r="AG39" s="54"/>
    </row>
    <row r="40" spans="1:33" s="41" customFormat="1" ht="12.75">
      <c r="A40" s="49"/>
      <c r="B40" s="50"/>
      <c r="C40" s="51"/>
      <c r="D40" s="52"/>
      <c r="E40" s="52"/>
      <c r="F40" s="52"/>
      <c r="T40" s="53"/>
      <c r="U40" s="53"/>
      <c r="V40" s="53"/>
      <c r="W40" s="53"/>
      <c r="X40" s="53"/>
      <c r="Y40" s="53"/>
      <c r="Z40" s="51"/>
      <c r="AA40" s="51"/>
      <c r="AB40" s="51"/>
      <c r="AC40" s="54"/>
      <c r="AD40" s="54"/>
      <c r="AE40" s="54"/>
      <c r="AF40" s="54"/>
      <c r="AG40" s="54"/>
    </row>
    <row r="41" spans="1:33" s="41" customFormat="1" ht="12.75">
      <c r="A41" s="49"/>
      <c r="B41" s="50"/>
      <c r="C41" s="51"/>
      <c r="D41" s="52"/>
      <c r="E41" s="52"/>
      <c r="F41" s="52"/>
      <c r="T41" s="53"/>
      <c r="U41" s="53"/>
      <c r="V41" s="53"/>
      <c r="W41" s="53"/>
      <c r="X41" s="53"/>
      <c r="Y41" s="53"/>
      <c r="Z41" s="51"/>
      <c r="AA41" s="51"/>
      <c r="AB41" s="51"/>
      <c r="AC41" s="54"/>
      <c r="AD41" s="54"/>
      <c r="AE41" s="54"/>
      <c r="AF41" s="54"/>
      <c r="AG41" s="54"/>
    </row>
    <row r="42" spans="1:33" s="41" customFormat="1" ht="12.75">
      <c r="A42" s="49"/>
      <c r="B42" s="50"/>
      <c r="C42" s="51"/>
      <c r="D42" s="52"/>
      <c r="E42" s="52"/>
      <c r="F42" s="52"/>
      <c r="T42" s="53"/>
      <c r="U42" s="53"/>
      <c r="V42" s="53"/>
      <c r="W42" s="53"/>
      <c r="X42" s="53"/>
      <c r="Y42" s="53"/>
      <c r="Z42" s="51"/>
      <c r="AA42" s="51"/>
      <c r="AB42" s="51"/>
      <c r="AC42" s="54"/>
      <c r="AD42" s="54"/>
      <c r="AE42" s="54"/>
      <c r="AF42" s="54"/>
      <c r="AG42" s="54"/>
    </row>
    <row r="43" spans="1:33" s="41" customFormat="1" ht="12.75">
      <c r="A43" s="49"/>
      <c r="B43" s="50"/>
      <c r="C43" s="51"/>
      <c r="D43" s="52"/>
      <c r="E43" s="52"/>
      <c r="F43" s="52"/>
      <c r="T43" s="53"/>
      <c r="U43" s="53"/>
      <c r="V43" s="53"/>
      <c r="W43" s="53"/>
      <c r="X43" s="53"/>
      <c r="Y43" s="53"/>
      <c r="Z43" s="51"/>
      <c r="AA43" s="51"/>
      <c r="AB43" s="51"/>
      <c r="AC43" s="54"/>
      <c r="AD43" s="54"/>
      <c r="AE43" s="54"/>
      <c r="AF43" s="54"/>
      <c r="AG43" s="54"/>
    </row>
    <row r="44" spans="1:33" s="41" customFormat="1" ht="12.75">
      <c r="A44" s="49"/>
      <c r="B44" s="50"/>
      <c r="C44" s="51"/>
      <c r="D44" s="52"/>
      <c r="E44" s="52"/>
      <c r="F44" s="52"/>
      <c r="T44" s="53"/>
      <c r="U44" s="53"/>
      <c r="V44" s="53"/>
      <c r="W44" s="53"/>
      <c r="X44" s="53"/>
      <c r="Y44" s="53"/>
      <c r="Z44" s="51"/>
      <c r="AA44" s="51"/>
      <c r="AB44" s="51"/>
      <c r="AC44" s="54"/>
      <c r="AD44" s="54"/>
      <c r="AE44" s="54"/>
      <c r="AF44" s="54"/>
      <c r="AG44" s="54"/>
    </row>
    <row r="45" spans="1:33" s="41" customFormat="1" ht="12.75">
      <c r="A45" s="49"/>
      <c r="B45" s="50"/>
      <c r="C45" s="51"/>
      <c r="D45" s="52"/>
      <c r="E45" s="52"/>
      <c r="F45" s="52"/>
      <c r="T45" s="53"/>
      <c r="U45" s="53"/>
      <c r="V45" s="53"/>
      <c r="W45" s="53"/>
      <c r="X45" s="53"/>
      <c r="Y45" s="53"/>
      <c r="Z45" s="51"/>
      <c r="AA45" s="51"/>
      <c r="AB45" s="51"/>
      <c r="AC45" s="54"/>
      <c r="AD45" s="54"/>
      <c r="AE45" s="54"/>
      <c r="AF45" s="54"/>
      <c r="AG45" s="54"/>
    </row>
    <row r="46" spans="1:33" s="41" customFormat="1" ht="12.75">
      <c r="A46" s="49"/>
      <c r="B46" s="50"/>
      <c r="C46" s="51"/>
      <c r="D46" s="52"/>
      <c r="E46" s="52"/>
      <c r="F46" s="52"/>
      <c r="T46" s="53"/>
      <c r="U46" s="53"/>
      <c r="V46" s="53"/>
      <c r="W46" s="53"/>
      <c r="X46" s="53"/>
      <c r="Y46" s="53"/>
      <c r="Z46" s="51"/>
      <c r="AA46" s="51"/>
      <c r="AB46" s="51"/>
      <c r="AC46" s="54"/>
      <c r="AD46" s="54"/>
      <c r="AE46" s="54"/>
      <c r="AF46" s="54"/>
      <c r="AG46" s="54"/>
    </row>
    <row r="47" spans="1:33" s="41" customFormat="1" ht="12.75">
      <c r="A47" s="49"/>
      <c r="B47" s="50"/>
      <c r="C47" s="51"/>
      <c r="D47" s="52"/>
      <c r="E47" s="52"/>
      <c r="F47" s="52"/>
      <c r="T47" s="53"/>
      <c r="U47" s="53"/>
      <c r="V47" s="53"/>
      <c r="W47" s="53"/>
      <c r="X47" s="53"/>
      <c r="Y47" s="53"/>
      <c r="Z47" s="51"/>
      <c r="AA47" s="51"/>
      <c r="AB47" s="51"/>
      <c r="AC47" s="54"/>
      <c r="AD47" s="54"/>
      <c r="AE47" s="54"/>
      <c r="AF47" s="54"/>
      <c r="AG47" s="54"/>
    </row>
    <row r="48" spans="1:33" s="41" customFormat="1" ht="12.75">
      <c r="A48" s="49"/>
      <c r="B48" s="50"/>
      <c r="C48" s="51"/>
      <c r="D48" s="52"/>
      <c r="E48" s="52"/>
      <c r="F48" s="52"/>
      <c r="T48" s="53"/>
      <c r="U48" s="53"/>
      <c r="V48" s="53"/>
      <c r="W48" s="53"/>
      <c r="X48" s="53"/>
      <c r="Y48" s="53"/>
      <c r="Z48" s="51"/>
      <c r="AA48" s="51"/>
      <c r="AB48" s="51"/>
      <c r="AC48" s="54"/>
      <c r="AD48" s="54"/>
      <c r="AE48" s="54"/>
      <c r="AF48" s="54"/>
      <c r="AG48" s="54"/>
    </row>
    <row r="49" spans="1:33" s="41" customFormat="1" ht="12.75">
      <c r="A49" s="49"/>
      <c r="B49" s="50"/>
      <c r="C49" s="51"/>
      <c r="D49" s="52"/>
      <c r="E49" s="52"/>
      <c r="F49" s="52"/>
      <c r="T49" s="53"/>
      <c r="U49" s="53"/>
      <c r="V49" s="53"/>
      <c r="W49" s="53"/>
      <c r="X49" s="53"/>
      <c r="Y49" s="53"/>
      <c r="Z49" s="51"/>
      <c r="AA49" s="51"/>
      <c r="AB49" s="51"/>
      <c r="AC49" s="54"/>
      <c r="AD49" s="54"/>
      <c r="AE49" s="54"/>
      <c r="AF49" s="54"/>
      <c r="AG49" s="54"/>
    </row>
    <row r="50" spans="1:33" s="41" customFormat="1" ht="12.75">
      <c r="A50" s="49"/>
      <c r="B50" s="50"/>
      <c r="C50" s="51"/>
      <c r="D50" s="52"/>
      <c r="E50" s="52"/>
      <c r="F50" s="52"/>
      <c r="T50" s="53"/>
      <c r="U50" s="53"/>
      <c r="V50" s="53"/>
      <c r="W50" s="53"/>
      <c r="X50" s="53"/>
      <c r="Y50" s="53"/>
      <c r="Z50" s="51"/>
      <c r="AA50" s="51"/>
      <c r="AB50" s="51"/>
      <c r="AC50" s="54"/>
      <c r="AD50" s="54"/>
      <c r="AE50" s="54"/>
      <c r="AF50" s="54"/>
      <c r="AG50" s="54"/>
    </row>
    <row r="51" spans="1:33" s="41" customFormat="1" ht="12.75">
      <c r="A51" s="49"/>
      <c r="B51" s="50"/>
      <c r="C51" s="51"/>
      <c r="D51" s="52"/>
      <c r="E51" s="52"/>
      <c r="F51" s="52"/>
      <c r="T51" s="53"/>
      <c r="U51" s="53"/>
      <c r="V51" s="53"/>
      <c r="W51" s="53"/>
      <c r="X51" s="53"/>
      <c r="Y51" s="53"/>
      <c r="Z51" s="51"/>
      <c r="AA51" s="51"/>
      <c r="AB51" s="51"/>
      <c r="AC51" s="54"/>
      <c r="AD51" s="54"/>
      <c r="AE51" s="54"/>
      <c r="AF51" s="54"/>
      <c r="AG51" s="54"/>
    </row>
    <row r="52" spans="1:33" s="41" customFormat="1" ht="12.75">
      <c r="A52" s="49"/>
      <c r="B52" s="50"/>
      <c r="C52" s="51"/>
      <c r="D52" s="52"/>
      <c r="E52" s="52"/>
      <c r="F52" s="52"/>
      <c r="T52" s="53"/>
      <c r="U52" s="53"/>
      <c r="V52" s="53"/>
      <c r="W52" s="53"/>
      <c r="X52" s="53"/>
      <c r="Y52" s="53"/>
      <c r="Z52" s="51"/>
      <c r="AA52" s="51"/>
      <c r="AB52" s="51"/>
      <c r="AC52" s="54"/>
      <c r="AD52" s="54"/>
      <c r="AE52" s="54"/>
      <c r="AF52" s="54"/>
      <c r="AG52" s="54"/>
    </row>
    <row r="53" spans="1:33" s="41" customFormat="1" ht="12.75">
      <c r="A53" s="49"/>
      <c r="B53" s="50"/>
      <c r="C53" s="51"/>
      <c r="D53" s="52"/>
      <c r="E53" s="52"/>
      <c r="F53" s="52"/>
      <c r="T53" s="53"/>
      <c r="U53" s="53"/>
      <c r="V53" s="53"/>
      <c r="W53" s="53"/>
      <c r="X53" s="53"/>
      <c r="Y53" s="53"/>
      <c r="Z53" s="51"/>
      <c r="AA53" s="51"/>
      <c r="AB53" s="51"/>
      <c r="AC53" s="54"/>
      <c r="AD53" s="54"/>
      <c r="AE53" s="54"/>
      <c r="AF53" s="54"/>
      <c r="AG53" s="54"/>
    </row>
    <row r="54" spans="1:33" s="41" customFormat="1" ht="12.75">
      <c r="A54" s="49"/>
      <c r="B54" s="50"/>
      <c r="C54" s="51"/>
      <c r="D54" s="52"/>
      <c r="E54" s="52"/>
      <c r="F54" s="52"/>
      <c r="T54" s="53"/>
      <c r="U54" s="53"/>
      <c r="V54" s="53"/>
      <c r="W54" s="53"/>
      <c r="X54" s="53"/>
      <c r="Y54" s="53"/>
      <c r="Z54" s="51"/>
      <c r="AA54" s="51"/>
      <c r="AB54" s="51"/>
      <c r="AC54" s="54"/>
      <c r="AD54" s="54"/>
      <c r="AE54" s="54"/>
      <c r="AF54" s="54"/>
      <c r="AG54" s="54"/>
    </row>
    <row r="55" spans="1:33" s="41" customFormat="1" ht="12.75">
      <c r="A55" s="49"/>
      <c r="B55" s="50"/>
      <c r="C55" s="51"/>
      <c r="D55" s="52"/>
      <c r="E55" s="52"/>
      <c r="F55" s="52"/>
      <c r="T55" s="53"/>
      <c r="U55" s="53"/>
      <c r="V55" s="53"/>
      <c r="W55" s="53"/>
      <c r="X55" s="53"/>
      <c r="Y55" s="53"/>
      <c r="Z55" s="51"/>
      <c r="AA55" s="51"/>
      <c r="AB55" s="51"/>
      <c r="AC55" s="54"/>
      <c r="AD55" s="54"/>
      <c r="AE55" s="54"/>
      <c r="AF55" s="54"/>
      <c r="AG55" s="54"/>
    </row>
    <row r="56" spans="1:33" s="41" customFormat="1" ht="12.75">
      <c r="A56" s="49"/>
      <c r="B56" s="50"/>
      <c r="C56" s="51"/>
      <c r="D56" s="52"/>
      <c r="E56" s="52"/>
      <c r="F56" s="52"/>
      <c r="T56" s="53"/>
      <c r="U56" s="53"/>
      <c r="V56" s="53"/>
      <c r="W56" s="53"/>
      <c r="X56" s="53"/>
      <c r="Y56" s="53"/>
      <c r="Z56" s="51"/>
      <c r="AA56" s="51"/>
      <c r="AB56" s="51"/>
      <c r="AC56" s="54"/>
      <c r="AD56" s="54"/>
      <c r="AE56" s="54"/>
      <c r="AF56" s="54"/>
      <c r="AG56" s="54"/>
    </row>
    <row r="57" spans="1:33" s="41" customFormat="1" ht="12.75">
      <c r="A57" s="49"/>
      <c r="B57" s="50"/>
      <c r="C57" s="51"/>
      <c r="D57" s="52"/>
      <c r="E57" s="52"/>
      <c r="F57" s="52"/>
      <c r="T57" s="53"/>
      <c r="U57" s="53"/>
      <c r="V57" s="53"/>
      <c r="W57" s="53"/>
      <c r="X57" s="53"/>
      <c r="Y57" s="53"/>
      <c r="Z57" s="51"/>
      <c r="AA57" s="51"/>
      <c r="AB57" s="51"/>
      <c r="AC57" s="54"/>
      <c r="AD57" s="54"/>
      <c r="AE57" s="54"/>
      <c r="AF57" s="54"/>
      <c r="AG57" s="54"/>
    </row>
    <row r="58" spans="1:33" s="41" customFormat="1" ht="12.75">
      <c r="A58" s="49"/>
      <c r="B58" s="50"/>
      <c r="C58" s="51"/>
      <c r="D58" s="52"/>
      <c r="E58" s="52"/>
      <c r="F58" s="52"/>
      <c r="T58" s="53"/>
      <c r="U58" s="53"/>
      <c r="V58" s="53"/>
      <c r="W58" s="53"/>
      <c r="X58" s="53"/>
      <c r="Y58" s="53"/>
      <c r="Z58" s="51"/>
      <c r="AA58" s="51"/>
      <c r="AB58" s="51"/>
      <c r="AC58" s="54"/>
      <c r="AD58" s="54"/>
      <c r="AE58" s="54"/>
      <c r="AF58" s="54"/>
      <c r="AG58" s="54"/>
    </row>
    <row r="59" spans="1:33" s="41" customFormat="1" ht="12.75">
      <c r="A59" s="49"/>
      <c r="B59" s="50"/>
      <c r="C59" s="51"/>
      <c r="D59" s="52"/>
      <c r="E59" s="52"/>
      <c r="F59" s="52"/>
      <c r="T59" s="53"/>
      <c r="U59" s="53"/>
      <c r="V59" s="53"/>
      <c r="W59" s="53"/>
      <c r="X59" s="53"/>
      <c r="Y59" s="53"/>
      <c r="Z59" s="51"/>
      <c r="AA59" s="51"/>
      <c r="AB59" s="51"/>
      <c r="AC59" s="54"/>
      <c r="AD59" s="54"/>
      <c r="AE59" s="54"/>
      <c r="AF59" s="54"/>
      <c r="AG59" s="54"/>
    </row>
    <row r="60" spans="1:33" s="41" customFormat="1" ht="12.75">
      <c r="A60" s="49"/>
      <c r="B60" s="50"/>
      <c r="C60" s="51"/>
      <c r="D60" s="52"/>
      <c r="E60" s="52"/>
      <c r="F60" s="52"/>
      <c r="T60" s="53"/>
      <c r="U60" s="53"/>
      <c r="V60" s="53"/>
      <c r="W60" s="53"/>
      <c r="X60" s="53"/>
      <c r="Y60" s="53"/>
      <c r="Z60" s="51"/>
      <c r="AA60" s="51"/>
      <c r="AB60" s="51"/>
      <c r="AC60" s="54"/>
      <c r="AD60" s="54"/>
      <c r="AE60" s="54"/>
      <c r="AF60" s="54"/>
      <c r="AG60" s="54"/>
    </row>
    <row r="61" spans="1:33" s="41" customFormat="1" ht="12.75">
      <c r="A61" s="49"/>
      <c r="B61" s="50"/>
      <c r="C61" s="51"/>
      <c r="D61" s="52"/>
      <c r="E61" s="52"/>
      <c r="F61" s="52"/>
      <c r="T61" s="53"/>
      <c r="U61" s="53"/>
      <c r="V61" s="53"/>
      <c r="W61" s="53"/>
      <c r="X61" s="53"/>
      <c r="Y61" s="53"/>
      <c r="Z61" s="51"/>
      <c r="AA61" s="51"/>
      <c r="AB61" s="51"/>
      <c r="AC61" s="54"/>
      <c r="AD61" s="54"/>
      <c r="AE61" s="54"/>
      <c r="AF61" s="54"/>
      <c r="AG61" s="54"/>
    </row>
    <row r="62" spans="1:33" s="41" customFormat="1" ht="12.75">
      <c r="A62" s="49"/>
      <c r="B62" s="50"/>
      <c r="C62" s="51"/>
      <c r="D62" s="52"/>
      <c r="E62" s="52"/>
      <c r="F62" s="52"/>
      <c r="T62" s="53"/>
      <c r="U62" s="53"/>
      <c r="V62" s="53"/>
      <c r="W62" s="53"/>
      <c r="X62" s="53"/>
      <c r="Y62" s="53"/>
      <c r="Z62" s="51"/>
      <c r="AA62" s="51"/>
      <c r="AB62" s="51"/>
      <c r="AC62" s="54"/>
      <c r="AD62" s="54"/>
      <c r="AE62" s="54"/>
      <c r="AF62" s="54"/>
      <c r="AG62" s="54"/>
    </row>
    <row r="63" spans="1:33" s="41" customFormat="1" ht="12.75">
      <c r="A63" s="49"/>
      <c r="B63" s="50"/>
      <c r="C63" s="51"/>
      <c r="D63" s="52"/>
      <c r="E63" s="52"/>
      <c r="F63" s="52"/>
      <c r="T63" s="53"/>
      <c r="U63" s="53"/>
      <c r="V63" s="53"/>
      <c r="W63" s="53"/>
      <c r="X63" s="53"/>
      <c r="Y63" s="53"/>
      <c r="Z63" s="51"/>
      <c r="AA63" s="51"/>
      <c r="AB63" s="51"/>
      <c r="AC63" s="54"/>
      <c r="AD63" s="54"/>
      <c r="AE63" s="54"/>
      <c r="AF63" s="54"/>
      <c r="AG63" s="54"/>
    </row>
    <row r="64" spans="1:33" s="41" customFormat="1" ht="12.75">
      <c r="A64" s="49"/>
      <c r="B64" s="50"/>
      <c r="C64" s="51"/>
      <c r="D64" s="52"/>
      <c r="E64" s="52"/>
      <c r="F64" s="52"/>
      <c r="T64" s="53"/>
      <c r="U64" s="53"/>
      <c r="V64" s="53"/>
      <c r="W64" s="53"/>
      <c r="X64" s="53"/>
      <c r="Y64" s="53"/>
      <c r="Z64" s="51"/>
      <c r="AA64" s="51"/>
      <c r="AB64" s="51"/>
      <c r="AC64" s="54"/>
      <c r="AD64" s="54"/>
      <c r="AE64" s="54"/>
      <c r="AF64" s="54"/>
      <c r="AG64" s="54"/>
    </row>
    <row r="65" spans="1:33" s="41" customFormat="1" ht="12.75">
      <c r="A65" s="49"/>
      <c r="B65" s="50"/>
      <c r="C65" s="51"/>
      <c r="D65" s="52"/>
      <c r="E65" s="52"/>
      <c r="F65" s="52"/>
      <c r="T65" s="53"/>
      <c r="U65" s="53"/>
      <c r="V65" s="53"/>
      <c r="W65" s="53"/>
      <c r="X65" s="53"/>
      <c r="Y65" s="53"/>
      <c r="Z65" s="51"/>
      <c r="AA65" s="51"/>
      <c r="AB65" s="51"/>
      <c r="AC65" s="54"/>
      <c r="AD65" s="54"/>
      <c r="AE65" s="54"/>
      <c r="AF65" s="54"/>
      <c r="AG65" s="54"/>
    </row>
    <row r="66" spans="1:33" s="41" customFormat="1" ht="12.75">
      <c r="A66" s="49"/>
      <c r="B66" s="640"/>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52"/>
      <c r="AB66" s="52"/>
      <c r="AC66" s="43"/>
      <c r="AD66" s="43"/>
      <c r="AE66" s="43"/>
      <c r="AF66" s="43"/>
      <c r="AG66" s="43"/>
    </row>
    <row r="67" spans="1:33" s="41" customFormat="1" ht="12.75">
      <c r="A67" s="49"/>
      <c r="B67" s="50"/>
      <c r="C67" s="51"/>
      <c r="D67" s="52"/>
      <c r="E67" s="52"/>
      <c r="F67" s="52"/>
      <c r="T67" s="53"/>
      <c r="U67" s="53"/>
      <c r="V67" s="53"/>
      <c r="W67" s="53"/>
      <c r="X67" s="53"/>
      <c r="Y67" s="53"/>
      <c r="Z67" s="51"/>
      <c r="AA67" s="51"/>
      <c r="AB67" s="51"/>
      <c r="AC67" s="54"/>
      <c r="AD67" s="54"/>
      <c r="AE67" s="54"/>
      <c r="AF67" s="54"/>
      <c r="AG67" s="54"/>
    </row>
    <row r="68" spans="1:33" s="41" customFormat="1" ht="12.75">
      <c r="A68" s="49"/>
      <c r="B68" s="50"/>
      <c r="C68" s="51"/>
      <c r="D68" s="52"/>
      <c r="E68" s="52"/>
      <c r="F68" s="52"/>
      <c r="T68" s="53"/>
      <c r="U68" s="53"/>
      <c r="V68" s="53"/>
      <c r="W68" s="53"/>
      <c r="X68" s="53"/>
      <c r="Y68" s="53"/>
      <c r="Z68" s="51"/>
      <c r="AA68" s="51"/>
      <c r="AB68" s="51"/>
      <c r="AC68" s="54"/>
      <c r="AD68" s="54"/>
      <c r="AE68" s="54"/>
      <c r="AF68" s="54"/>
      <c r="AG68" s="54"/>
    </row>
    <row r="69" spans="1:33" s="41" customFormat="1" ht="12.75">
      <c r="A69" s="49"/>
      <c r="B69" s="50"/>
      <c r="C69" s="51"/>
      <c r="D69" s="52"/>
      <c r="E69" s="52"/>
      <c r="F69" s="52"/>
      <c r="T69" s="53"/>
      <c r="U69" s="53"/>
      <c r="V69" s="53"/>
      <c r="W69" s="53"/>
      <c r="X69" s="53"/>
      <c r="Y69" s="53"/>
      <c r="Z69" s="51"/>
      <c r="AA69" s="51"/>
      <c r="AB69" s="51"/>
      <c r="AC69" s="54"/>
      <c r="AD69" s="54"/>
      <c r="AE69" s="54"/>
      <c r="AF69" s="54"/>
      <c r="AG69" s="54"/>
    </row>
    <row r="70" spans="1:33" s="41" customFormat="1" ht="12.75">
      <c r="A70" s="49"/>
      <c r="B70" s="50"/>
      <c r="C70" s="51"/>
      <c r="D70" s="52"/>
      <c r="E70" s="52"/>
      <c r="F70" s="52"/>
      <c r="T70" s="53"/>
      <c r="U70" s="53"/>
      <c r="V70" s="53"/>
      <c r="W70" s="53"/>
      <c r="X70" s="53"/>
      <c r="Y70" s="53"/>
      <c r="Z70" s="51"/>
      <c r="AA70" s="51"/>
      <c r="AB70" s="51"/>
      <c r="AC70" s="54"/>
      <c r="AD70" s="54"/>
      <c r="AE70" s="54"/>
      <c r="AF70" s="54"/>
      <c r="AG70" s="54"/>
    </row>
    <row r="71" spans="1:33" s="41" customFormat="1" ht="12.75">
      <c r="A71" s="49"/>
      <c r="B71" s="50"/>
      <c r="C71" s="51"/>
      <c r="D71" s="52"/>
      <c r="E71" s="52"/>
      <c r="F71" s="52"/>
      <c r="T71" s="53"/>
      <c r="U71" s="53"/>
      <c r="V71" s="53"/>
      <c r="W71" s="53"/>
      <c r="X71" s="53"/>
      <c r="Y71" s="53"/>
      <c r="Z71" s="51"/>
      <c r="AA71" s="51"/>
      <c r="AB71" s="51"/>
      <c r="AC71" s="54"/>
      <c r="AD71" s="54"/>
      <c r="AE71" s="54"/>
      <c r="AF71" s="54"/>
      <c r="AG71" s="54"/>
    </row>
    <row r="72" spans="1:33" s="41" customFormat="1" ht="12.75">
      <c r="A72" s="49"/>
      <c r="B72" s="50"/>
      <c r="C72" s="51"/>
      <c r="D72" s="52"/>
      <c r="E72" s="52"/>
      <c r="F72" s="52"/>
      <c r="T72" s="53"/>
      <c r="U72" s="53"/>
      <c r="V72" s="53"/>
      <c r="W72" s="53"/>
      <c r="X72" s="53"/>
      <c r="Y72" s="53"/>
      <c r="Z72" s="51"/>
      <c r="AA72" s="51"/>
      <c r="AB72" s="51"/>
      <c r="AC72" s="54"/>
      <c r="AD72" s="54"/>
      <c r="AE72" s="54"/>
      <c r="AF72" s="54"/>
      <c r="AG72" s="54"/>
    </row>
    <row r="73" spans="1:33" s="41" customFormat="1" ht="12.75">
      <c r="A73" s="49"/>
      <c r="B73" s="50"/>
      <c r="C73" s="51"/>
      <c r="D73" s="52"/>
      <c r="E73" s="52"/>
      <c r="F73" s="52"/>
      <c r="T73" s="53"/>
      <c r="U73" s="53"/>
      <c r="V73" s="53"/>
      <c r="W73" s="53"/>
      <c r="X73" s="53"/>
      <c r="Y73" s="53"/>
      <c r="Z73" s="51"/>
      <c r="AA73" s="51"/>
      <c r="AB73" s="51"/>
      <c r="AC73" s="54"/>
      <c r="AD73" s="54"/>
      <c r="AE73" s="54"/>
      <c r="AF73" s="54"/>
      <c r="AG73" s="54"/>
    </row>
    <row r="74" spans="1:33" s="41" customFormat="1" ht="12.75">
      <c r="A74" s="49"/>
      <c r="B74" s="50"/>
      <c r="C74" s="51"/>
      <c r="D74" s="52"/>
      <c r="E74" s="52"/>
      <c r="F74" s="52"/>
      <c r="T74" s="53"/>
      <c r="U74" s="53"/>
      <c r="V74" s="53"/>
      <c r="W74" s="53"/>
      <c r="X74" s="53"/>
      <c r="Y74" s="53"/>
      <c r="Z74" s="51"/>
      <c r="AA74" s="51"/>
      <c r="AB74" s="51"/>
      <c r="AC74" s="54"/>
      <c r="AD74" s="54"/>
      <c r="AE74" s="54"/>
      <c r="AF74" s="54"/>
      <c r="AG74" s="54"/>
    </row>
    <row r="75" spans="1:33" s="41" customFormat="1" ht="12.75">
      <c r="A75" s="49"/>
      <c r="B75" s="50"/>
      <c r="C75" s="51"/>
      <c r="D75" s="52"/>
      <c r="E75" s="52"/>
      <c r="F75" s="52"/>
      <c r="T75" s="53"/>
      <c r="U75" s="53"/>
      <c r="V75" s="53"/>
      <c r="W75" s="53"/>
      <c r="X75" s="53"/>
      <c r="Y75" s="53"/>
      <c r="Z75" s="51"/>
      <c r="AA75" s="51"/>
      <c r="AB75" s="51"/>
      <c r="AC75" s="54"/>
      <c r="AD75" s="54"/>
      <c r="AE75" s="54"/>
      <c r="AF75" s="54"/>
      <c r="AG75" s="54"/>
    </row>
    <row r="76" spans="1:33" s="41" customFormat="1" ht="12.75">
      <c r="A76" s="49"/>
      <c r="B76" s="50"/>
      <c r="C76" s="51"/>
      <c r="D76" s="52"/>
      <c r="E76" s="52"/>
      <c r="F76" s="52"/>
      <c r="T76" s="53"/>
      <c r="U76" s="53"/>
      <c r="V76" s="53"/>
      <c r="W76" s="53"/>
      <c r="X76" s="53"/>
      <c r="Y76" s="53"/>
      <c r="Z76" s="51"/>
      <c r="AA76" s="51"/>
      <c r="AB76" s="51"/>
      <c r="AC76" s="54"/>
      <c r="AD76" s="54"/>
      <c r="AE76" s="54"/>
      <c r="AF76" s="54"/>
      <c r="AG76" s="54"/>
    </row>
    <row r="77" spans="1:33" s="41" customFormat="1" ht="12.75">
      <c r="A77" s="49"/>
      <c r="B77" s="50"/>
      <c r="C77" s="51"/>
      <c r="D77" s="52"/>
      <c r="E77" s="52"/>
      <c r="F77" s="52"/>
      <c r="T77" s="53"/>
      <c r="U77" s="53"/>
      <c r="V77" s="53"/>
      <c r="W77" s="53"/>
      <c r="X77" s="53"/>
      <c r="Y77" s="53"/>
      <c r="Z77" s="51"/>
      <c r="AA77" s="51"/>
      <c r="AB77" s="51"/>
      <c r="AC77" s="54"/>
      <c r="AD77" s="54"/>
      <c r="AE77" s="54"/>
      <c r="AF77" s="54"/>
      <c r="AG77" s="54"/>
    </row>
    <row r="78" spans="1:33" s="41" customFormat="1" ht="12.75">
      <c r="A78" s="49"/>
      <c r="B78" s="50"/>
      <c r="C78" s="51"/>
      <c r="D78" s="52"/>
      <c r="E78" s="52"/>
      <c r="F78" s="52"/>
      <c r="T78" s="53"/>
      <c r="U78" s="53"/>
      <c r="V78" s="53"/>
      <c r="W78" s="53"/>
      <c r="X78" s="53"/>
      <c r="Y78" s="53"/>
      <c r="Z78" s="51"/>
      <c r="AA78" s="51"/>
      <c r="AB78" s="51"/>
      <c r="AC78" s="54"/>
      <c r="AD78" s="54"/>
      <c r="AE78" s="54"/>
      <c r="AF78" s="54"/>
      <c r="AG78" s="54"/>
    </row>
    <row r="79" spans="1:33" s="41" customFormat="1" ht="12.75">
      <c r="A79" s="49"/>
      <c r="B79" s="50"/>
      <c r="C79" s="51"/>
      <c r="D79" s="52"/>
      <c r="E79" s="52"/>
      <c r="F79" s="52"/>
      <c r="T79" s="53"/>
      <c r="U79" s="53"/>
      <c r="V79" s="53"/>
      <c r="W79" s="53"/>
      <c r="X79" s="53"/>
      <c r="Y79" s="53"/>
      <c r="Z79" s="51"/>
      <c r="AA79" s="51"/>
      <c r="AB79" s="51"/>
      <c r="AC79" s="54"/>
      <c r="AD79" s="54"/>
      <c r="AE79" s="54"/>
      <c r="AF79" s="54"/>
      <c r="AG79" s="54"/>
    </row>
    <row r="80" spans="1:33" s="41" customFormat="1" ht="12.75">
      <c r="A80" s="49"/>
      <c r="B80" s="50"/>
      <c r="C80" s="51"/>
      <c r="D80" s="52"/>
      <c r="E80" s="52"/>
      <c r="F80" s="52"/>
      <c r="T80" s="53"/>
      <c r="U80" s="53"/>
      <c r="V80" s="53"/>
      <c r="W80" s="53"/>
      <c r="X80" s="53"/>
      <c r="Y80" s="53"/>
      <c r="Z80" s="51"/>
      <c r="AA80" s="51"/>
      <c r="AB80" s="51"/>
      <c r="AC80" s="54"/>
      <c r="AD80" s="54"/>
      <c r="AE80" s="54"/>
      <c r="AF80" s="54"/>
      <c r="AG80" s="54"/>
    </row>
    <row r="81" spans="1:33" s="41" customFormat="1" ht="12.75">
      <c r="A81" s="49"/>
      <c r="B81" s="50"/>
      <c r="C81" s="51"/>
      <c r="D81" s="52"/>
      <c r="E81" s="52"/>
      <c r="F81" s="52"/>
      <c r="T81" s="53"/>
      <c r="U81" s="53"/>
      <c r="V81" s="53"/>
      <c r="W81" s="53"/>
      <c r="X81" s="53"/>
      <c r="Y81" s="53"/>
      <c r="Z81" s="51"/>
      <c r="AA81" s="51"/>
      <c r="AB81" s="51"/>
      <c r="AC81" s="54"/>
      <c r="AD81" s="54"/>
      <c r="AE81" s="54"/>
      <c r="AF81" s="54"/>
      <c r="AG81" s="54"/>
    </row>
    <row r="82" spans="1:33" s="41" customFormat="1" ht="12.75">
      <c r="A82" s="49"/>
      <c r="B82" s="50"/>
      <c r="C82" s="51"/>
      <c r="D82" s="52"/>
      <c r="E82" s="52"/>
      <c r="F82" s="52"/>
      <c r="T82" s="53"/>
      <c r="U82" s="53"/>
      <c r="V82" s="53"/>
      <c r="W82" s="53"/>
      <c r="X82" s="53"/>
      <c r="Y82" s="53"/>
      <c r="Z82" s="51"/>
      <c r="AA82" s="51"/>
      <c r="AB82" s="51"/>
      <c r="AC82" s="54"/>
      <c r="AD82" s="54"/>
      <c r="AE82" s="54"/>
      <c r="AF82" s="54"/>
      <c r="AG82" s="54"/>
    </row>
    <row r="83" spans="1:33" s="41" customFormat="1" ht="12.75">
      <c r="A83" s="49"/>
      <c r="B83" s="50"/>
      <c r="C83" s="51"/>
      <c r="D83" s="52"/>
      <c r="E83" s="52"/>
      <c r="F83" s="52"/>
      <c r="T83" s="53"/>
      <c r="U83" s="53"/>
      <c r="V83" s="53"/>
      <c r="W83" s="53"/>
      <c r="X83" s="53"/>
      <c r="Y83" s="53"/>
      <c r="Z83" s="51"/>
      <c r="AA83" s="51"/>
      <c r="AB83" s="51"/>
      <c r="AC83" s="54"/>
      <c r="AD83" s="54"/>
      <c r="AE83" s="54"/>
      <c r="AF83" s="54"/>
      <c r="AG83" s="54"/>
    </row>
    <row r="84" spans="1:33" s="41" customFormat="1" ht="12.75">
      <c r="A84" s="49"/>
      <c r="B84" s="50"/>
      <c r="C84" s="51"/>
      <c r="D84" s="52"/>
      <c r="E84" s="52"/>
      <c r="F84" s="52"/>
      <c r="T84" s="53"/>
      <c r="U84" s="53"/>
      <c r="V84" s="53"/>
      <c r="W84" s="53"/>
      <c r="X84" s="53"/>
      <c r="Y84" s="53"/>
      <c r="Z84" s="51"/>
      <c r="AA84" s="51"/>
      <c r="AB84" s="51"/>
      <c r="AC84" s="54"/>
      <c r="AD84" s="54"/>
      <c r="AE84" s="54"/>
      <c r="AF84" s="54"/>
      <c r="AG84" s="54"/>
    </row>
    <row r="85" spans="1:33" s="41" customFormat="1" ht="12.75">
      <c r="A85" s="49"/>
      <c r="B85" s="50"/>
      <c r="C85" s="51"/>
      <c r="D85" s="52"/>
      <c r="E85" s="52"/>
      <c r="F85" s="52"/>
      <c r="T85" s="53"/>
      <c r="U85" s="53"/>
      <c r="V85" s="53"/>
      <c r="W85" s="53"/>
      <c r="X85" s="53"/>
      <c r="Y85" s="53"/>
      <c r="Z85" s="51"/>
      <c r="AA85" s="51"/>
      <c r="AB85" s="51"/>
      <c r="AC85" s="54"/>
      <c r="AD85" s="54"/>
      <c r="AE85" s="54"/>
      <c r="AF85" s="54"/>
      <c r="AG85" s="54"/>
    </row>
    <row r="86" spans="1:33" s="41" customFormat="1" ht="12.75">
      <c r="A86" s="49"/>
      <c r="B86" s="50"/>
      <c r="C86" s="51"/>
      <c r="D86" s="52"/>
      <c r="E86" s="52"/>
      <c r="F86" s="52"/>
      <c r="T86" s="53"/>
      <c r="U86" s="53"/>
      <c r="V86" s="53"/>
      <c r="W86" s="53"/>
      <c r="X86" s="53"/>
      <c r="Y86" s="53"/>
      <c r="Z86" s="51"/>
      <c r="AA86" s="51"/>
      <c r="AB86" s="51"/>
      <c r="AC86" s="54"/>
      <c r="AD86" s="54"/>
      <c r="AE86" s="54"/>
      <c r="AF86" s="54"/>
      <c r="AG86" s="54"/>
    </row>
    <row r="87" spans="1:33" s="41" customFormat="1" ht="12.75">
      <c r="A87" s="49"/>
      <c r="B87" s="50"/>
      <c r="C87" s="51"/>
      <c r="D87" s="52"/>
      <c r="E87" s="52"/>
      <c r="F87" s="52"/>
      <c r="T87" s="53"/>
      <c r="U87" s="53"/>
      <c r="V87" s="53"/>
      <c r="W87" s="53"/>
      <c r="X87" s="53"/>
      <c r="Y87" s="53"/>
      <c r="Z87" s="51"/>
      <c r="AA87" s="51"/>
      <c r="AB87" s="51"/>
      <c r="AC87" s="54"/>
      <c r="AD87" s="54"/>
      <c r="AE87" s="54"/>
      <c r="AF87" s="54"/>
      <c r="AG87" s="54"/>
    </row>
    <row r="88" spans="1:33" s="41" customFormat="1" ht="12.75">
      <c r="A88" s="49"/>
      <c r="B88" s="50"/>
      <c r="C88" s="51"/>
      <c r="D88" s="52"/>
      <c r="E88" s="52"/>
      <c r="F88" s="52"/>
      <c r="T88" s="53"/>
      <c r="U88" s="53"/>
      <c r="V88" s="53"/>
      <c r="W88" s="53"/>
      <c r="X88" s="53"/>
      <c r="Y88" s="53"/>
      <c r="Z88" s="51"/>
      <c r="AA88" s="51"/>
      <c r="AB88" s="51"/>
      <c r="AC88" s="54"/>
      <c r="AD88" s="54"/>
      <c r="AE88" s="54"/>
      <c r="AF88" s="54"/>
      <c r="AG88" s="54"/>
    </row>
    <row r="89" spans="1:33" s="41" customFormat="1" ht="12.75">
      <c r="A89" s="49"/>
      <c r="B89" s="50"/>
      <c r="C89" s="51"/>
      <c r="D89" s="52"/>
      <c r="E89" s="52"/>
      <c r="F89" s="52"/>
      <c r="T89" s="53"/>
      <c r="U89" s="53"/>
      <c r="V89" s="53"/>
      <c r="W89" s="53"/>
      <c r="X89" s="53"/>
      <c r="Y89" s="53"/>
      <c r="Z89" s="51"/>
      <c r="AA89" s="51"/>
      <c r="AB89" s="51"/>
      <c r="AC89" s="54"/>
      <c r="AD89" s="54"/>
      <c r="AE89" s="54"/>
      <c r="AF89" s="54"/>
      <c r="AG89" s="54"/>
    </row>
    <row r="90" spans="1:33" s="41" customFormat="1" ht="12.75">
      <c r="A90" s="49"/>
      <c r="B90" s="50"/>
      <c r="C90" s="51"/>
      <c r="D90" s="52"/>
      <c r="E90" s="52"/>
      <c r="F90" s="52"/>
      <c r="T90" s="53"/>
      <c r="U90" s="53"/>
      <c r="V90" s="53"/>
      <c r="W90" s="53"/>
      <c r="X90" s="53"/>
      <c r="Y90" s="53"/>
      <c r="Z90" s="51"/>
      <c r="AA90" s="51"/>
      <c r="AB90" s="51"/>
      <c r="AC90" s="54"/>
      <c r="AD90" s="54"/>
      <c r="AE90" s="54"/>
      <c r="AF90" s="54"/>
      <c r="AG90" s="54"/>
    </row>
    <row r="91" spans="1:33" s="41" customFormat="1" ht="12.75">
      <c r="A91" s="49"/>
      <c r="B91" s="50"/>
      <c r="C91" s="51"/>
      <c r="D91" s="52"/>
      <c r="E91" s="52"/>
      <c r="F91" s="52"/>
      <c r="T91" s="53"/>
      <c r="U91" s="53"/>
      <c r="V91" s="53"/>
      <c r="W91" s="53"/>
      <c r="X91" s="53"/>
      <c r="Y91" s="53"/>
      <c r="Z91" s="51"/>
      <c r="AA91" s="51"/>
      <c r="AB91" s="51"/>
      <c r="AC91" s="54"/>
      <c r="AD91" s="54"/>
      <c r="AE91" s="54"/>
      <c r="AF91" s="54"/>
      <c r="AG91" s="54"/>
    </row>
    <row r="92" spans="1:33" s="41" customFormat="1" ht="12.75">
      <c r="A92" s="49"/>
      <c r="B92" s="50"/>
      <c r="C92" s="51"/>
      <c r="D92" s="52"/>
      <c r="E92" s="52"/>
      <c r="F92" s="52"/>
      <c r="T92" s="53"/>
      <c r="U92" s="53"/>
      <c r="V92" s="53"/>
      <c r="W92" s="53"/>
      <c r="X92" s="53"/>
      <c r="Y92" s="53"/>
      <c r="Z92" s="51"/>
      <c r="AA92" s="51"/>
      <c r="AB92" s="51"/>
      <c r="AC92" s="54"/>
      <c r="AD92" s="54"/>
      <c r="AE92" s="54"/>
      <c r="AF92" s="54"/>
      <c r="AG92" s="54"/>
    </row>
    <row r="93" spans="1:33" s="41" customFormat="1" ht="12.75">
      <c r="A93" s="49"/>
      <c r="B93" s="50"/>
      <c r="C93" s="51"/>
      <c r="D93" s="52"/>
      <c r="E93" s="52"/>
      <c r="F93" s="52"/>
      <c r="T93" s="53"/>
      <c r="U93" s="53"/>
      <c r="V93" s="53"/>
      <c r="W93" s="53"/>
      <c r="X93" s="53"/>
      <c r="Y93" s="53"/>
      <c r="Z93" s="51"/>
      <c r="AA93" s="51"/>
      <c r="AB93" s="51"/>
      <c r="AC93" s="54"/>
      <c r="AD93" s="54"/>
      <c r="AE93" s="54"/>
      <c r="AF93" s="54"/>
      <c r="AG93" s="54"/>
    </row>
    <row r="94" spans="1:33" s="41" customFormat="1" ht="12.75">
      <c r="A94" s="49"/>
      <c r="B94" s="50"/>
      <c r="C94" s="51"/>
      <c r="D94" s="52"/>
      <c r="E94" s="52"/>
      <c r="F94" s="52"/>
      <c r="T94" s="53"/>
      <c r="U94" s="53"/>
      <c r="V94" s="53"/>
      <c r="W94" s="53"/>
      <c r="X94" s="53"/>
      <c r="Y94" s="53"/>
      <c r="Z94" s="51"/>
      <c r="AA94" s="51"/>
      <c r="AB94" s="51"/>
      <c r="AC94" s="54"/>
      <c r="AD94" s="54"/>
      <c r="AE94" s="54"/>
      <c r="AF94" s="54"/>
      <c r="AG94" s="54"/>
    </row>
    <row r="95" spans="1:33" s="41" customFormat="1" ht="12.75">
      <c r="A95" s="49"/>
      <c r="B95" s="50"/>
      <c r="C95" s="51"/>
      <c r="D95" s="52"/>
      <c r="E95" s="52"/>
      <c r="F95" s="52"/>
      <c r="T95" s="53"/>
      <c r="U95" s="53"/>
      <c r="V95" s="53"/>
      <c r="W95" s="53"/>
      <c r="X95" s="53"/>
      <c r="Y95" s="53"/>
      <c r="Z95" s="51"/>
      <c r="AA95" s="51"/>
      <c r="AB95" s="51"/>
      <c r="AC95" s="54"/>
      <c r="AD95" s="54"/>
      <c r="AE95" s="54"/>
      <c r="AF95" s="54"/>
      <c r="AG95" s="54"/>
    </row>
    <row r="96" spans="1:33" s="41" customFormat="1" ht="12.75">
      <c r="A96" s="49"/>
      <c r="B96" s="50"/>
      <c r="C96" s="51"/>
      <c r="D96" s="52"/>
      <c r="E96" s="52"/>
      <c r="F96" s="52"/>
      <c r="T96" s="53"/>
      <c r="U96" s="53"/>
      <c r="V96" s="53"/>
      <c r="W96" s="53"/>
      <c r="X96" s="53"/>
      <c r="Y96" s="53"/>
      <c r="Z96" s="51"/>
      <c r="AA96" s="51"/>
      <c r="AB96" s="51"/>
      <c r="AC96" s="54"/>
      <c r="AD96" s="54"/>
      <c r="AE96" s="54"/>
      <c r="AF96" s="54"/>
      <c r="AG96" s="54"/>
    </row>
    <row r="97" spans="1:33" s="41" customFormat="1" ht="12.75">
      <c r="A97" s="49"/>
      <c r="B97" s="50"/>
      <c r="C97" s="51"/>
      <c r="D97" s="52"/>
      <c r="E97" s="52"/>
      <c r="F97" s="52"/>
      <c r="T97" s="53"/>
      <c r="U97" s="53"/>
      <c r="V97" s="53"/>
      <c r="W97" s="53"/>
      <c r="X97" s="53"/>
      <c r="Y97" s="53"/>
      <c r="Z97" s="51"/>
      <c r="AA97" s="51"/>
      <c r="AB97" s="51"/>
      <c r="AC97" s="54"/>
      <c r="AD97" s="54"/>
      <c r="AE97" s="54"/>
      <c r="AF97" s="54"/>
      <c r="AG97" s="54"/>
    </row>
    <row r="98" spans="1:33" s="41" customFormat="1" ht="12.75">
      <c r="A98" s="49"/>
      <c r="B98" s="50"/>
      <c r="C98" s="51"/>
      <c r="D98" s="52"/>
      <c r="E98" s="52"/>
      <c r="F98" s="52"/>
      <c r="T98" s="53"/>
      <c r="U98" s="53"/>
      <c r="V98" s="53"/>
      <c r="W98" s="53"/>
      <c r="X98" s="53"/>
      <c r="Y98" s="53"/>
      <c r="Z98" s="51"/>
      <c r="AA98" s="51"/>
      <c r="AB98" s="51"/>
      <c r="AC98" s="54"/>
      <c r="AD98" s="54"/>
      <c r="AE98" s="54"/>
      <c r="AF98" s="54"/>
      <c r="AG98" s="54"/>
    </row>
    <row r="99" spans="1:33" s="41" customFormat="1" ht="12.75">
      <c r="A99" s="49"/>
      <c r="B99" s="50"/>
      <c r="C99" s="51"/>
      <c r="D99" s="52"/>
      <c r="E99" s="52"/>
      <c r="F99" s="52"/>
      <c r="T99" s="53"/>
      <c r="U99" s="53"/>
      <c r="V99" s="53"/>
      <c r="W99" s="53"/>
      <c r="X99" s="53"/>
      <c r="Y99" s="53"/>
      <c r="Z99" s="51"/>
      <c r="AA99" s="51"/>
      <c r="AB99" s="51"/>
      <c r="AC99" s="54"/>
      <c r="AD99" s="54"/>
      <c r="AE99" s="54"/>
      <c r="AF99" s="54"/>
      <c r="AG99" s="54"/>
    </row>
    <row r="100" spans="1:33" s="41" customFormat="1" ht="12.75">
      <c r="A100" s="49"/>
      <c r="B100" s="50"/>
      <c r="C100" s="51"/>
      <c r="D100" s="52"/>
      <c r="E100" s="52"/>
      <c r="F100" s="52"/>
      <c r="T100" s="53"/>
      <c r="U100" s="53"/>
      <c r="V100" s="53"/>
      <c r="W100" s="53"/>
      <c r="X100" s="53"/>
      <c r="Y100" s="53"/>
      <c r="Z100" s="51"/>
      <c r="AA100" s="51"/>
      <c r="AB100" s="51"/>
      <c r="AC100" s="54"/>
      <c r="AD100" s="54"/>
      <c r="AE100" s="54"/>
      <c r="AF100" s="54"/>
      <c r="AG100" s="54"/>
    </row>
    <row r="101" spans="1:33" s="41" customFormat="1" ht="12.75">
      <c r="A101" s="49"/>
      <c r="B101" s="50"/>
      <c r="C101" s="51"/>
      <c r="D101" s="52"/>
      <c r="E101" s="52"/>
      <c r="F101" s="52"/>
      <c r="T101" s="53"/>
      <c r="U101" s="53"/>
      <c r="V101" s="53"/>
      <c r="W101" s="53"/>
      <c r="X101" s="53"/>
      <c r="Y101" s="53"/>
      <c r="Z101" s="51"/>
      <c r="AA101" s="51"/>
      <c r="AB101" s="51"/>
      <c r="AC101" s="54"/>
      <c r="AD101" s="54"/>
      <c r="AE101" s="54"/>
      <c r="AF101" s="54"/>
      <c r="AG101" s="54"/>
    </row>
    <row r="102" spans="1:33" s="41" customFormat="1" ht="12.75">
      <c r="A102" s="49"/>
      <c r="B102" s="50"/>
      <c r="C102" s="51"/>
      <c r="D102" s="52"/>
      <c r="E102" s="52"/>
      <c r="F102" s="52"/>
      <c r="T102" s="53"/>
      <c r="U102" s="53"/>
      <c r="V102" s="53"/>
      <c r="W102" s="53"/>
      <c r="X102" s="53"/>
      <c r="Y102" s="53"/>
      <c r="Z102" s="51"/>
      <c r="AA102" s="51"/>
      <c r="AB102" s="51"/>
      <c r="AC102" s="54"/>
      <c r="AD102" s="54"/>
      <c r="AE102" s="54"/>
      <c r="AF102" s="54"/>
      <c r="AG102" s="54"/>
    </row>
    <row r="103" spans="1:33" s="41" customFormat="1" ht="12.75">
      <c r="A103" s="49"/>
      <c r="B103" s="50"/>
      <c r="C103" s="51"/>
      <c r="D103" s="52"/>
      <c r="E103" s="52"/>
      <c r="F103" s="52"/>
      <c r="T103" s="53"/>
      <c r="U103" s="53"/>
      <c r="V103" s="53"/>
      <c r="W103" s="53"/>
      <c r="X103" s="53"/>
      <c r="Y103" s="53"/>
      <c r="Z103" s="51"/>
      <c r="AA103" s="51"/>
      <c r="AB103" s="51"/>
      <c r="AC103" s="54"/>
      <c r="AD103" s="54"/>
      <c r="AE103" s="54"/>
      <c r="AF103" s="54"/>
      <c r="AG103" s="54"/>
    </row>
    <row r="104" spans="1:33" s="41" customFormat="1" ht="12.75">
      <c r="A104" s="49"/>
      <c r="B104" s="50"/>
      <c r="C104" s="51"/>
      <c r="D104" s="52"/>
      <c r="E104" s="52"/>
      <c r="F104" s="52"/>
      <c r="T104" s="53"/>
      <c r="U104" s="53"/>
      <c r="V104" s="53"/>
      <c r="W104" s="53"/>
      <c r="X104" s="53"/>
      <c r="Y104" s="53"/>
      <c r="Z104" s="51"/>
      <c r="AA104" s="51"/>
      <c r="AB104" s="51"/>
      <c r="AC104" s="54"/>
      <c r="AD104" s="54"/>
      <c r="AE104" s="54"/>
      <c r="AF104" s="54"/>
      <c r="AG104" s="54"/>
    </row>
    <row r="105" spans="1:33" s="41" customFormat="1" ht="12.75">
      <c r="A105" s="49"/>
      <c r="B105" s="50"/>
      <c r="C105" s="51"/>
      <c r="D105" s="52"/>
      <c r="E105" s="52"/>
      <c r="F105" s="52"/>
      <c r="T105" s="53"/>
      <c r="U105" s="53"/>
      <c r="V105" s="53"/>
      <c r="W105" s="53"/>
      <c r="X105" s="53"/>
      <c r="Y105" s="53"/>
      <c r="Z105" s="51"/>
      <c r="AA105" s="51"/>
      <c r="AB105" s="51"/>
      <c r="AC105" s="54"/>
      <c r="AD105" s="54"/>
      <c r="AE105" s="54"/>
      <c r="AF105" s="54"/>
      <c r="AG105" s="54"/>
    </row>
    <row r="106" spans="1:33" s="41" customFormat="1" ht="12.75">
      <c r="A106" s="49"/>
      <c r="B106" s="50"/>
      <c r="C106" s="51"/>
      <c r="D106" s="52"/>
      <c r="E106" s="52"/>
      <c r="F106" s="52"/>
      <c r="T106" s="53"/>
      <c r="U106" s="53"/>
      <c r="V106" s="53"/>
      <c r="W106" s="53"/>
      <c r="X106" s="53"/>
      <c r="Y106" s="53"/>
      <c r="Z106" s="51"/>
      <c r="AA106" s="51"/>
      <c r="AB106" s="51"/>
      <c r="AC106" s="54"/>
      <c r="AD106" s="54"/>
      <c r="AE106" s="54"/>
      <c r="AF106" s="54"/>
      <c r="AG106" s="54"/>
    </row>
    <row r="107" spans="1:33" s="41" customFormat="1" ht="12.75">
      <c r="A107" s="49"/>
      <c r="B107" s="50"/>
      <c r="C107" s="51"/>
      <c r="D107" s="52"/>
      <c r="E107" s="52"/>
      <c r="F107" s="52"/>
      <c r="T107" s="53"/>
      <c r="U107" s="53"/>
      <c r="V107" s="53"/>
      <c r="W107" s="53"/>
      <c r="X107" s="53"/>
      <c r="Y107" s="53"/>
      <c r="Z107" s="51"/>
      <c r="AA107" s="51"/>
      <c r="AB107" s="51"/>
      <c r="AC107" s="54"/>
      <c r="AD107" s="54"/>
      <c r="AE107" s="54"/>
      <c r="AF107" s="54"/>
      <c r="AG107" s="54"/>
    </row>
    <row r="108" spans="1:33" s="41" customFormat="1" ht="12.75">
      <c r="A108" s="49"/>
      <c r="B108" s="50"/>
      <c r="C108" s="51"/>
      <c r="D108" s="52"/>
      <c r="E108" s="52"/>
      <c r="F108" s="52"/>
      <c r="T108" s="53"/>
      <c r="U108" s="53"/>
      <c r="V108" s="53"/>
      <c r="W108" s="53"/>
      <c r="X108" s="53"/>
      <c r="Y108" s="53"/>
      <c r="Z108" s="51"/>
      <c r="AA108" s="51"/>
      <c r="AB108" s="51"/>
      <c r="AC108" s="54"/>
      <c r="AD108" s="54"/>
      <c r="AE108" s="54"/>
      <c r="AF108" s="54"/>
      <c r="AG108" s="54"/>
    </row>
    <row r="109" spans="1:33" s="41" customFormat="1" ht="12.75">
      <c r="A109" s="49"/>
      <c r="B109" s="50"/>
      <c r="C109" s="51"/>
      <c r="D109" s="52"/>
      <c r="E109" s="52"/>
      <c r="F109" s="52"/>
      <c r="T109" s="53"/>
      <c r="U109" s="53"/>
      <c r="V109" s="53"/>
      <c r="W109" s="53"/>
      <c r="X109" s="53"/>
      <c r="Y109" s="53"/>
      <c r="Z109" s="51"/>
      <c r="AA109" s="51"/>
      <c r="AB109" s="51"/>
      <c r="AC109" s="54"/>
      <c r="AD109" s="54"/>
      <c r="AE109" s="54"/>
      <c r="AF109" s="54"/>
      <c r="AG109" s="54"/>
    </row>
    <row r="110" spans="1:33" s="41" customFormat="1" ht="12.75">
      <c r="A110" s="49"/>
      <c r="B110" s="50"/>
      <c r="C110" s="51"/>
      <c r="D110" s="52"/>
      <c r="E110" s="52"/>
      <c r="F110" s="52"/>
      <c r="T110" s="53"/>
      <c r="U110" s="53"/>
      <c r="V110" s="53"/>
      <c r="W110" s="53"/>
      <c r="X110" s="53"/>
      <c r="Y110" s="53"/>
      <c r="Z110" s="51"/>
      <c r="AA110" s="51"/>
      <c r="AB110" s="51"/>
      <c r="AC110" s="54"/>
      <c r="AD110" s="54"/>
      <c r="AE110" s="54"/>
      <c r="AF110" s="54"/>
      <c r="AG110" s="54"/>
    </row>
    <row r="111" spans="1:33" s="41" customFormat="1" ht="12.75">
      <c r="A111" s="49"/>
      <c r="B111" s="50"/>
      <c r="C111" s="51"/>
      <c r="D111" s="52"/>
      <c r="E111" s="52"/>
      <c r="F111" s="52"/>
      <c r="T111" s="53"/>
      <c r="U111" s="53"/>
      <c r="V111" s="53"/>
      <c r="W111" s="53"/>
      <c r="X111" s="53"/>
      <c r="Y111" s="53"/>
      <c r="Z111" s="51"/>
      <c r="AA111" s="51"/>
      <c r="AB111" s="51"/>
      <c r="AC111" s="54"/>
      <c r="AD111" s="54"/>
      <c r="AE111" s="54"/>
      <c r="AF111" s="54"/>
      <c r="AG111" s="54"/>
    </row>
    <row r="112" spans="1:33" s="41" customFormat="1" ht="12.75">
      <c r="A112" s="49"/>
      <c r="B112" s="50"/>
      <c r="C112" s="51"/>
      <c r="D112" s="52"/>
      <c r="E112" s="52"/>
      <c r="F112" s="52"/>
      <c r="T112" s="53"/>
      <c r="U112" s="53"/>
      <c r="V112" s="53"/>
      <c r="W112" s="53"/>
      <c r="X112" s="53"/>
      <c r="Y112" s="53"/>
      <c r="Z112" s="51"/>
      <c r="AA112" s="51"/>
      <c r="AB112" s="51"/>
      <c r="AC112" s="54"/>
      <c r="AD112" s="54"/>
      <c r="AE112" s="54"/>
      <c r="AF112" s="54"/>
      <c r="AG112" s="54"/>
    </row>
    <row r="113" spans="3:25" ht="12.75">
      <c r="C113" s="56"/>
      <c r="D113" s="57"/>
      <c r="E113" s="57"/>
      <c r="F113" s="57"/>
      <c r="I113" s="48"/>
      <c r="R113" s="48"/>
      <c r="S113" s="48"/>
      <c r="T113" s="53"/>
      <c r="V113" s="53"/>
      <c r="W113" s="53"/>
      <c r="X113" s="53"/>
      <c r="Y113" s="53"/>
    </row>
    <row r="114" spans="3:25" ht="12.75">
      <c r="C114" s="56"/>
      <c r="D114" s="57"/>
      <c r="E114" s="57"/>
      <c r="F114" s="57"/>
      <c r="I114" s="48"/>
      <c r="R114" s="48"/>
      <c r="S114" s="48"/>
      <c r="T114" s="53"/>
      <c r="V114" s="53"/>
      <c r="W114" s="53"/>
      <c r="X114" s="53"/>
      <c r="Y114" s="53"/>
    </row>
    <row r="115" spans="3:25" ht="12.75">
      <c r="C115" s="56"/>
      <c r="D115" s="57"/>
      <c r="E115" s="57"/>
      <c r="F115" s="57"/>
      <c r="I115" s="48"/>
      <c r="R115" s="48"/>
      <c r="S115" s="48"/>
      <c r="T115" s="53"/>
      <c r="V115" s="53"/>
      <c r="W115" s="53"/>
      <c r="X115" s="53"/>
      <c r="Y115" s="53"/>
    </row>
    <row r="116" spans="3:25" ht="12.75">
      <c r="C116" s="56"/>
      <c r="D116" s="57"/>
      <c r="E116" s="57"/>
      <c r="F116" s="57"/>
      <c r="I116" s="48"/>
      <c r="R116" s="48"/>
      <c r="S116" s="48"/>
      <c r="T116" s="53"/>
      <c r="V116" s="53"/>
      <c r="W116" s="53"/>
      <c r="X116" s="53"/>
      <c r="Y116" s="53"/>
    </row>
    <row r="117" spans="3:25" ht="12.75">
      <c r="C117" s="56"/>
      <c r="D117" s="57"/>
      <c r="E117" s="57"/>
      <c r="F117" s="57"/>
      <c r="I117" s="48"/>
      <c r="R117" s="48"/>
      <c r="S117" s="48"/>
      <c r="T117" s="53"/>
      <c r="V117" s="53"/>
      <c r="W117" s="53"/>
      <c r="X117" s="53"/>
      <c r="Y117" s="53"/>
    </row>
    <row r="118" spans="3:25" ht="12.75">
      <c r="C118" s="56"/>
      <c r="D118" s="57"/>
      <c r="E118" s="57"/>
      <c r="F118" s="57"/>
      <c r="I118" s="48"/>
      <c r="R118" s="48"/>
      <c r="S118" s="48"/>
      <c r="T118" s="53"/>
      <c r="V118" s="53"/>
      <c r="W118" s="53"/>
      <c r="X118" s="53"/>
      <c r="Y118" s="53"/>
    </row>
    <row r="119" spans="3:25" ht="12.75">
      <c r="C119" s="56"/>
      <c r="D119" s="57"/>
      <c r="E119" s="57"/>
      <c r="F119" s="57"/>
      <c r="I119" s="48"/>
      <c r="R119" s="48"/>
      <c r="S119" s="48"/>
      <c r="T119" s="53"/>
      <c r="V119" s="53"/>
      <c r="W119" s="53"/>
      <c r="X119" s="53"/>
      <c r="Y119" s="53"/>
    </row>
    <row r="120" spans="3:25" ht="12.75">
      <c r="C120" s="56"/>
      <c r="D120" s="57"/>
      <c r="E120" s="57"/>
      <c r="F120" s="57"/>
      <c r="I120" s="48"/>
      <c r="R120" s="48"/>
      <c r="S120" s="48"/>
      <c r="T120" s="53"/>
      <c r="V120" s="53"/>
      <c r="W120" s="53"/>
      <c r="X120" s="53"/>
      <c r="Y120" s="53"/>
    </row>
    <row r="121" spans="3:25" ht="12.75">
      <c r="C121" s="56"/>
      <c r="D121" s="57"/>
      <c r="E121" s="57"/>
      <c r="F121" s="57"/>
      <c r="I121" s="48"/>
      <c r="R121" s="48"/>
      <c r="S121" s="48"/>
      <c r="T121" s="53"/>
      <c r="V121" s="53"/>
      <c r="W121" s="53"/>
      <c r="X121" s="53"/>
      <c r="Y121" s="53"/>
    </row>
    <row r="122" spans="3:25" ht="12.75">
      <c r="C122" s="56"/>
      <c r="D122" s="57"/>
      <c r="E122" s="57"/>
      <c r="F122" s="57"/>
      <c r="I122" s="48"/>
      <c r="R122" s="48"/>
      <c r="S122" s="48"/>
      <c r="T122" s="53"/>
      <c r="V122" s="53"/>
      <c r="W122" s="53"/>
      <c r="X122" s="53"/>
      <c r="Y122" s="53"/>
    </row>
    <row r="123" spans="3:25" ht="12.75">
      <c r="C123" s="56"/>
      <c r="D123" s="57"/>
      <c r="E123" s="57"/>
      <c r="F123" s="57"/>
      <c r="I123" s="48"/>
      <c r="R123" s="48"/>
      <c r="S123" s="48"/>
      <c r="T123" s="53"/>
      <c r="V123" s="53"/>
      <c r="W123" s="53"/>
      <c r="X123" s="53"/>
      <c r="Y123" s="53"/>
    </row>
    <row r="124" spans="3:25" ht="12.75">
      <c r="C124" s="56"/>
      <c r="D124" s="57"/>
      <c r="E124" s="57"/>
      <c r="F124" s="57"/>
      <c r="I124" s="48"/>
      <c r="R124" s="48"/>
      <c r="S124" s="48"/>
      <c r="T124" s="53"/>
      <c r="V124" s="53"/>
      <c r="W124" s="53"/>
      <c r="X124" s="53"/>
      <c r="Y124" s="53"/>
    </row>
    <row r="125" spans="3:25" ht="12.75">
      <c r="C125" s="56"/>
      <c r="D125" s="57"/>
      <c r="E125" s="57"/>
      <c r="F125" s="57"/>
      <c r="I125" s="48"/>
      <c r="R125" s="48"/>
      <c r="S125" s="48"/>
      <c r="T125" s="53"/>
      <c r="V125" s="53"/>
      <c r="W125" s="53"/>
      <c r="X125" s="53"/>
      <c r="Y125" s="53"/>
    </row>
    <row r="126" spans="3:25" ht="12.75">
      <c r="C126" s="56"/>
      <c r="D126" s="57"/>
      <c r="E126" s="57"/>
      <c r="F126" s="57"/>
      <c r="I126" s="48"/>
      <c r="R126" s="48"/>
      <c r="S126" s="48"/>
      <c r="T126" s="53"/>
      <c r="V126" s="53"/>
      <c r="W126" s="53"/>
      <c r="X126" s="53"/>
      <c r="Y126" s="53"/>
    </row>
    <row r="127" spans="3:25" ht="12.75">
      <c r="C127" s="56"/>
      <c r="D127" s="57"/>
      <c r="E127" s="57"/>
      <c r="F127" s="57"/>
      <c r="I127" s="48"/>
      <c r="R127" s="48"/>
      <c r="S127" s="48"/>
      <c r="T127" s="53"/>
      <c r="V127" s="53"/>
      <c r="W127" s="53"/>
      <c r="X127" s="53"/>
      <c r="Y127" s="53"/>
    </row>
    <row r="128" spans="3:25" ht="12.75">
      <c r="C128" s="56"/>
      <c r="D128" s="57"/>
      <c r="E128" s="57"/>
      <c r="F128" s="57"/>
      <c r="I128" s="48"/>
      <c r="R128" s="48"/>
      <c r="S128" s="48"/>
      <c r="T128" s="53"/>
      <c r="V128" s="53"/>
      <c r="W128" s="53"/>
      <c r="X128" s="53"/>
      <c r="Y128" s="53"/>
    </row>
    <row r="129" spans="3:25" ht="12.75">
      <c r="C129" s="56"/>
      <c r="D129" s="57"/>
      <c r="E129" s="57"/>
      <c r="F129" s="57"/>
      <c r="I129" s="48"/>
      <c r="R129" s="48"/>
      <c r="S129" s="48"/>
      <c r="T129" s="53"/>
      <c r="V129" s="53"/>
      <c r="W129" s="53"/>
      <c r="X129" s="53"/>
      <c r="Y129" s="53"/>
    </row>
    <row r="130" spans="3:25" ht="12.75">
      <c r="C130" s="56"/>
      <c r="D130" s="57"/>
      <c r="E130" s="57"/>
      <c r="F130" s="57"/>
      <c r="I130" s="48"/>
      <c r="R130" s="48"/>
      <c r="S130" s="48"/>
      <c r="T130" s="53"/>
      <c r="V130" s="53"/>
      <c r="W130" s="53"/>
      <c r="X130" s="53"/>
      <c r="Y130" s="53"/>
    </row>
    <row r="131" spans="3:25" ht="12.75">
      <c r="C131" s="56"/>
      <c r="D131" s="57"/>
      <c r="E131" s="57"/>
      <c r="F131" s="57"/>
      <c r="I131" s="48"/>
      <c r="R131" s="48"/>
      <c r="S131" s="48"/>
      <c r="T131" s="53"/>
      <c r="V131" s="53"/>
      <c r="W131" s="53"/>
      <c r="X131" s="53"/>
      <c r="Y131" s="53"/>
    </row>
    <row r="132" spans="3:25" ht="12.75">
      <c r="C132" s="56"/>
      <c r="D132" s="57"/>
      <c r="E132" s="57"/>
      <c r="F132" s="57"/>
      <c r="I132" s="48"/>
      <c r="R132" s="48"/>
      <c r="S132" s="48"/>
      <c r="T132" s="53"/>
      <c r="V132" s="53"/>
      <c r="W132" s="53"/>
      <c r="X132" s="53"/>
      <c r="Y132" s="53"/>
    </row>
    <row r="133" spans="3:25" ht="12.75">
      <c r="C133" s="56"/>
      <c r="D133" s="57"/>
      <c r="E133" s="57"/>
      <c r="F133" s="57"/>
      <c r="I133" s="48"/>
      <c r="R133" s="48"/>
      <c r="S133" s="48"/>
      <c r="T133" s="53"/>
      <c r="V133" s="53"/>
      <c r="W133" s="53"/>
      <c r="X133" s="53"/>
      <c r="Y133" s="53"/>
    </row>
    <row r="134" spans="3:25" ht="12.75">
      <c r="C134" s="56"/>
      <c r="D134" s="57"/>
      <c r="E134" s="57"/>
      <c r="F134" s="57"/>
      <c r="I134" s="48"/>
      <c r="R134" s="48"/>
      <c r="S134" s="48"/>
      <c r="T134" s="53"/>
      <c r="V134" s="53"/>
      <c r="W134" s="53"/>
      <c r="X134" s="53"/>
      <c r="Y134" s="53"/>
    </row>
    <row r="135" spans="3:25" ht="12.75">
      <c r="C135" s="56"/>
      <c r="D135" s="57"/>
      <c r="E135" s="57"/>
      <c r="F135" s="57"/>
      <c r="I135" s="48"/>
      <c r="R135" s="48"/>
      <c r="S135" s="48"/>
      <c r="T135" s="53"/>
      <c r="V135" s="53"/>
      <c r="W135" s="53"/>
      <c r="X135" s="53"/>
      <c r="Y135" s="53"/>
    </row>
    <row r="136" spans="3:25" ht="12.75">
      <c r="C136" s="56"/>
      <c r="D136" s="57"/>
      <c r="E136" s="57"/>
      <c r="F136" s="57"/>
      <c r="I136" s="48"/>
      <c r="R136" s="48"/>
      <c r="S136" s="48"/>
      <c r="T136" s="53"/>
      <c r="V136" s="53"/>
      <c r="W136" s="53"/>
      <c r="X136" s="53"/>
      <c r="Y136" s="53"/>
    </row>
    <row r="137" spans="3:25" ht="12.75">
      <c r="C137" s="56"/>
      <c r="D137" s="57"/>
      <c r="E137" s="57"/>
      <c r="F137" s="57"/>
      <c r="I137" s="48"/>
      <c r="R137" s="48"/>
      <c r="S137" s="48"/>
      <c r="T137" s="53"/>
      <c r="V137" s="53"/>
      <c r="W137" s="53"/>
      <c r="X137" s="53"/>
      <c r="Y137" s="53"/>
    </row>
    <row r="138" spans="3:25" ht="12.75">
      <c r="C138" s="56"/>
      <c r="D138" s="57"/>
      <c r="E138" s="57"/>
      <c r="F138" s="57"/>
      <c r="I138" s="48"/>
      <c r="R138" s="48"/>
      <c r="S138" s="48"/>
      <c r="T138" s="53"/>
      <c r="V138" s="53"/>
      <c r="W138" s="53"/>
      <c r="X138" s="53"/>
      <c r="Y138" s="53"/>
    </row>
    <row r="139" spans="3:25" ht="12.75">
      <c r="C139" s="56"/>
      <c r="D139" s="57"/>
      <c r="E139" s="57"/>
      <c r="F139" s="57"/>
      <c r="I139" s="48"/>
      <c r="R139" s="48"/>
      <c r="S139" s="48"/>
      <c r="T139" s="53"/>
      <c r="V139" s="53"/>
      <c r="W139" s="53"/>
      <c r="X139" s="53"/>
      <c r="Y139" s="53"/>
    </row>
    <row r="140" spans="1:25" ht="12.75">
      <c r="A140" s="16"/>
      <c r="C140" s="56"/>
      <c r="D140" s="57"/>
      <c r="E140" s="57"/>
      <c r="F140" s="57"/>
      <c r="I140" s="48"/>
      <c r="R140" s="48"/>
      <c r="S140" s="48"/>
      <c r="T140" s="53"/>
      <c r="V140" s="53"/>
      <c r="W140" s="53"/>
      <c r="X140" s="53"/>
      <c r="Y140" s="53"/>
    </row>
    <row r="141" spans="1:25" ht="12.75">
      <c r="A141" s="16"/>
      <c r="C141" s="56"/>
      <c r="D141" s="57"/>
      <c r="E141" s="57"/>
      <c r="F141" s="57"/>
      <c r="I141" s="48"/>
      <c r="R141" s="48"/>
      <c r="S141" s="48"/>
      <c r="T141" s="53"/>
      <c r="V141" s="53"/>
      <c r="W141" s="53"/>
      <c r="X141" s="53"/>
      <c r="Y141" s="53"/>
    </row>
    <row r="142" spans="1:25" ht="12.75">
      <c r="A142" s="16"/>
      <c r="C142" s="56"/>
      <c r="D142" s="57"/>
      <c r="E142" s="57"/>
      <c r="F142" s="57"/>
      <c r="I142" s="48"/>
      <c r="R142" s="48"/>
      <c r="S142" s="48"/>
      <c r="T142" s="53"/>
      <c r="V142" s="53"/>
      <c r="W142" s="53"/>
      <c r="X142" s="53"/>
      <c r="Y142" s="53"/>
    </row>
    <row r="143" spans="1:25" ht="12.75">
      <c r="A143" s="16"/>
      <c r="C143" s="56"/>
      <c r="D143" s="57"/>
      <c r="E143" s="57"/>
      <c r="F143" s="57"/>
      <c r="I143" s="48"/>
      <c r="R143" s="48"/>
      <c r="S143" s="48"/>
      <c r="T143" s="53"/>
      <c r="V143" s="53"/>
      <c r="W143" s="53"/>
      <c r="X143" s="53"/>
      <c r="Y143" s="53"/>
    </row>
    <row r="144" spans="1:25" ht="12.75">
      <c r="A144" s="16"/>
      <c r="C144" s="56"/>
      <c r="D144" s="57"/>
      <c r="E144" s="57"/>
      <c r="F144" s="57"/>
      <c r="I144" s="48"/>
      <c r="R144" s="48"/>
      <c r="S144" s="48"/>
      <c r="T144" s="53"/>
      <c r="V144" s="53"/>
      <c r="W144" s="53"/>
      <c r="X144" s="53"/>
      <c r="Y144" s="53"/>
    </row>
    <row r="145" spans="1:25" ht="12.75">
      <c r="A145" s="16"/>
      <c r="C145" s="56"/>
      <c r="D145" s="57"/>
      <c r="E145" s="57"/>
      <c r="F145" s="57"/>
      <c r="I145" s="48"/>
      <c r="R145" s="48"/>
      <c r="S145" s="48"/>
      <c r="T145" s="53"/>
      <c r="V145" s="53"/>
      <c r="W145" s="53"/>
      <c r="X145" s="53"/>
      <c r="Y145" s="53"/>
    </row>
    <row r="146" spans="1:25" ht="12.75">
      <c r="A146" s="16"/>
      <c r="C146" s="56"/>
      <c r="D146" s="57"/>
      <c r="E146" s="57"/>
      <c r="F146" s="57"/>
      <c r="I146" s="48"/>
      <c r="R146" s="48"/>
      <c r="S146" s="48"/>
      <c r="T146" s="53"/>
      <c r="V146" s="53"/>
      <c r="W146" s="53"/>
      <c r="X146" s="53"/>
      <c r="Y146" s="53"/>
    </row>
    <row r="147" spans="1:25" ht="12.75">
      <c r="A147" s="16"/>
      <c r="C147" s="56"/>
      <c r="D147" s="57"/>
      <c r="E147" s="57"/>
      <c r="F147" s="57"/>
      <c r="I147" s="48"/>
      <c r="R147" s="48"/>
      <c r="S147" s="48"/>
      <c r="T147" s="53"/>
      <c r="V147" s="53"/>
      <c r="W147" s="53"/>
      <c r="X147" s="53"/>
      <c r="Y147" s="53"/>
    </row>
    <row r="148" spans="1:25" ht="12.75">
      <c r="A148" s="16"/>
      <c r="C148" s="56"/>
      <c r="D148" s="57"/>
      <c r="E148" s="57"/>
      <c r="F148" s="57"/>
      <c r="I148" s="48"/>
      <c r="R148" s="48"/>
      <c r="S148" s="48"/>
      <c r="T148" s="53"/>
      <c r="V148" s="53"/>
      <c r="W148" s="53"/>
      <c r="X148" s="53"/>
      <c r="Y148" s="53"/>
    </row>
    <row r="149" spans="1:25" ht="12.75">
      <c r="A149" s="16"/>
      <c r="C149" s="56"/>
      <c r="D149" s="57"/>
      <c r="E149" s="57"/>
      <c r="F149" s="57"/>
      <c r="I149" s="48"/>
      <c r="R149" s="48"/>
      <c r="S149" s="48"/>
      <c r="T149" s="53"/>
      <c r="V149" s="53"/>
      <c r="W149" s="53"/>
      <c r="X149" s="53"/>
      <c r="Y149" s="53"/>
    </row>
    <row r="150" spans="1:25" ht="12.75">
      <c r="A150" s="16"/>
      <c r="C150" s="56"/>
      <c r="D150" s="57"/>
      <c r="E150" s="57"/>
      <c r="F150" s="57"/>
      <c r="I150" s="48"/>
      <c r="R150" s="48"/>
      <c r="S150" s="48"/>
      <c r="T150" s="53"/>
      <c r="V150" s="53"/>
      <c r="W150" s="53"/>
      <c r="X150" s="53"/>
      <c r="Y150" s="53"/>
    </row>
    <row r="151" spans="1:25" ht="12.75">
      <c r="A151" s="16"/>
      <c r="C151" s="56"/>
      <c r="D151" s="57"/>
      <c r="E151" s="57"/>
      <c r="F151" s="57"/>
      <c r="I151" s="48"/>
      <c r="R151" s="48"/>
      <c r="S151" s="48"/>
      <c r="T151" s="53"/>
      <c r="V151" s="53"/>
      <c r="W151" s="53"/>
      <c r="X151" s="53"/>
      <c r="Y151" s="53"/>
    </row>
    <row r="152" spans="1:25" ht="12.75">
      <c r="A152" s="16"/>
      <c r="C152" s="56"/>
      <c r="D152" s="57"/>
      <c r="E152" s="57"/>
      <c r="F152" s="57"/>
      <c r="I152" s="48"/>
      <c r="R152" s="48"/>
      <c r="S152" s="48"/>
      <c r="T152" s="53"/>
      <c r="V152" s="53"/>
      <c r="W152" s="53"/>
      <c r="X152" s="53"/>
      <c r="Y152" s="53"/>
    </row>
    <row r="153" spans="1:25" ht="12.75">
      <c r="A153" s="16"/>
      <c r="C153" s="56"/>
      <c r="D153" s="57"/>
      <c r="E153" s="57"/>
      <c r="F153" s="57"/>
      <c r="I153" s="48"/>
      <c r="R153" s="48"/>
      <c r="S153" s="48"/>
      <c r="T153" s="53"/>
      <c r="V153" s="53"/>
      <c r="W153" s="53"/>
      <c r="X153" s="53"/>
      <c r="Y153" s="53"/>
    </row>
    <row r="154" spans="1:25" ht="12.75">
      <c r="A154" s="16"/>
      <c r="C154" s="56"/>
      <c r="D154" s="57"/>
      <c r="E154" s="57"/>
      <c r="F154" s="57"/>
      <c r="I154" s="48"/>
      <c r="R154" s="48"/>
      <c r="S154" s="48"/>
      <c r="T154" s="53"/>
      <c r="V154" s="53"/>
      <c r="W154" s="53"/>
      <c r="X154" s="53"/>
      <c r="Y154" s="53"/>
    </row>
    <row r="155" spans="1:25" ht="12.75">
      <c r="A155" s="16"/>
      <c r="C155" s="56"/>
      <c r="D155" s="57"/>
      <c r="E155" s="57"/>
      <c r="F155" s="57"/>
      <c r="I155" s="48"/>
      <c r="R155" s="48"/>
      <c r="S155" s="48"/>
      <c r="T155" s="53"/>
      <c r="V155" s="53"/>
      <c r="W155" s="53"/>
      <c r="X155" s="53"/>
      <c r="Y155" s="53"/>
    </row>
    <row r="156" spans="1:25" ht="12.75">
      <c r="A156" s="16"/>
      <c r="C156" s="56"/>
      <c r="D156" s="57"/>
      <c r="E156" s="57"/>
      <c r="F156" s="57"/>
      <c r="I156" s="48"/>
      <c r="R156" s="48"/>
      <c r="S156" s="48"/>
      <c r="T156" s="53"/>
      <c r="V156" s="53"/>
      <c r="W156" s="53"/>
      <c r="X156" s="53"/>
      <c r="Y156" s="53"/>
    </row>
    <row r="157" spans="1:25" ht="12.75">
      <c r="A157" s="16"/>
      <c r="C157" s="56"/>
      <c r="D157" s="57"/>
      <c r="E157" s="57"/>
      <c r="F157" s="57"/>
      <c r="I157" s="48"/>
      <c r="R157" s="48"/>
      <c r="S157" s="48"/>
      <c r="T157" s="53"/>
      <c r="V157" s="53"/>
      <c r="W157" s="53"/>
      <c r="X157" s="53"/>
      <c r="Y157" s="53"/>
    </row>
    <row r="158" spans="1:25" ht="12.75">
      <c r="A158" s="16"/>
      <c r="C158" s="56"/>
      <c r="D158" s="57"/>
      <c r="E158" s="57"/>
      <c r="F158" s="57"/>
      <c r="I158" s="48"/>
      <c r="R158" s="48"/>
      <c r="S158" s="48"/>
      <c r="T158" s="53"/>
      <c r="V158" s="53"/>
      <c r="W158" s="53"/>
      <c r="X158" s="53"/>
      <c r="Y158" s="53"/>
    </row>
    <row r="159" spans="1:25" ht="12.75">
      <c r="A159" s="16"/>
      <c r="C159" s="56"/>
      <c r="D159" s="57"/>
      <c r="E159" s="57"/>
      <c r="F159" s="57"/>
      <c r="I159" s="48"/>
      <c r="R159" s="48"/>
      <c r="S159" s="48"/>
      <c r="T159" s="53"/>
      <c r="V159" s="53"/>
      <c r="W159" s="53"/>
      <c r="X159" s="53"/>
      <c r="Y159" s="53"/>
    </row>
    <row r="160" spans="1:25" ht="12.75">
      <c r="A160" s="16"/>
      <c r="C160" s="56"/>
      <c r="D160" s="57"/>
      <c r="E160" s="57"/>
      <c r="F160" s="57"/>
      <c r="I160" s="48"/>
      <c r="R160" s="48"/>
      <c r="S160" s="48"/>
      <c r="T160" s="53"/>
      <c r="V160" s="53"/>
      <c r="W160" s="53"/>
      <c r="X160" s="53"/>
      <c r="Y160" s="53"/>
    </row>
    <row r="161" spans="1:25" ht="12.75">
      <c r="A161" s="16"/>
      <c r="C161" s="56"/>
      <c r="D161" s="57"/>
      <c r="E161" s="57"/>
      <c r="F161" s="57"/>
      <c r="I161" s="48"/>
      <c r="R161" s="48"/>
      <c r="S161" s="48"/>
      <c r="T161" s="53"/>
      <c r="V161" s="53"/>
      <c r="W161" s="53"/>
      <c r="X161" s="53"/>
      <c r="Y161" s="53"/>
    </row>
    <row r="162" spans="1:25" ht="12.75">
      <c r="A162" s="16"/>
      <c r="C162" s="56"/>
      <c r="D162" s="57"/>
      <c r="E162" s="57"/>
      <c r="F162" s="57"/>
      <c r="I162" s="48"/>
      <c r="R162" s="48"/>
      <c r="S162" s="48"/>
      <c r="T162" s="53"/>
      <c r="V162" s="53"/>
      <c r="W162" s="53"/>
      <c r="X162" s="53"/>
      <c r="Y162" s="53"/>
    </row>
    <row r="163" spans="1:25" ht="12.75">
      <c r="A163" s="16"/>
      <c r="C163" s="56"/>
      <c r="D163" s="57"/>
      <c r="E163" s="57"/>
      <c r="F163" s="57"/>
      <c r="I163" s="48"/>
      <c r="R163" s="48"/>
      <c r="S163" s="48"/>
      <c r="T163" s="53"/>
      <c r="V163" s="53"/>
      <c r="W163" s="53"/>
      <c r="X163" s="53"/>
      <c r="Y163" s="53"/>
    </row>
    <row r="164" spans="1:25" ht="12.75">
      <c r="A164" s="16"/>
      <c r="C164" s="56"/>
      <c r="D164" s="57"/>
      <c r="E164" s="57"/>
      <c r="F164" s="57"/>
      <c r="I164" s="48"/>
      <c r="R164" s="48"/>
      <c r="S164" s="48"/>
      <c r="T164" s="53"/>
      <c r="V164" s="53"/>
      <c r="W164" s="53"/>
      <c r="X164" s="53"/>
      <c r="Y164" s="53"/>
    </row>
    <row r="165" spans="1:25" ht="12.75">
      <c r="A165" s="16"/>
      <c r="C165" s="56"/>
      <c r="D165" s="57"/>
      <c r="E165" s="57"/>
      <c r="F165" s="57"/>
      <c r="I165" s="48"/>
      <c r="R165" s="48"/>
      <c r="S165" s="48"/>
      <c r="T165" s="53"/>
      <c r="V165" s="53"/>
      <c r="W165" s="53"/>
      <c r="X165" s="53"/>
      <c r="Y165" s="53"/>
    </row>
    <row r="166" spans="1:25" ht="12.75">
      <c r="A166" s="16"/>
      <c r="C166" s="56"/>
      <c r="D166" s="57"/>
      <c r="E166" s="57"/>
      <c r="F166" s="57"/>
      <c r="I166" s="48"/>
      <c r="R166" s="48"/>
      <c r="S166" s="48"/>
      <c r="T166" s="53"/>
      <c r="V166" s="53"/>
      <c r="W166" s="53"/>
      <c r="X166" s="53"/>
      <c r="Y166" s="53"/>
    </row>
    <row r="167" spans="1:25" ht="12.75">
      <c r="A167" s="16"/>
      <c r="C167" s="56"/>
      <c r="D167" s="57"/>
      <c r="E167" s="57"/>
      <c r="F167" s="57"/>
      <c r="I167" s="48"/>
      <c r="R167" s="48"/>
      <c r="S167" s="48"/>
      <c r="T167" s="53"/>
      <c r="V167" s="53"/>
      <c r="W167" s="53"/>
      <c r="X167" s="53"/>
      <c r="Y167" s="53"/>
    </row>
    <row r="168" spans="1:25" ht="12.75">
      <c r="A168" s="16"/>
      <c r="C168" s="56"/>
      <c r="D168" s="57"/>
      <c r="E168" s="57"/>
      <c r="F168" s="57"/>
      <c r="I168" s="48"/>
      <c r="R168" s="48"/>
      <c r="S168" s="48"/>
      <c r="T168" s="53"/>
      <c r="V168" s="53"/>
      <c r="W168" s="53"/>
      <c r="X168" s="53"/>
      <c r="Y168" s="53"/>
    </row>
    <row r="169" spans="1:25" ht="12.75">
      <c r="A169" s="16"/>
      <c r="C169" s="56"/>
      <c r="D169" s="57"/>
      <c r="E169" s="57"/>
      <c r="F169" s="57"/>
      <c r="I169" s="48"/>
      <c r="R169" s="48"/>
      <c r="S169" s="48"/>
      <c r="T169" s="53"/>
      <c r="V169" s="53"/>
      <c r="W169" s="53"/>
      <c r="X169" s="53"/>
      <c r="Y169" s="53"/>
    </row>
    <row r="170" spans="1:25" ht="12.75">
      <c r="A170" s="16"/>
      <c r="C170" s="56"/>
      <c r="D170" s="57"/>
      <c r="E170" s="57"/>
      <c r="F170" s="57"/>
      <c r="I170" s="48"/>
      <c r="R170" s="48"/>
      <c r="S170" s="48"/>
      <c r="T170" s="53"/>
      <c r="V170" s="53"/>
      <c r="W170" s="53"/>
      <c r="X170" s="53"/>
      <c r="Y170" s="53"/>
    </row>
    <row r="171" spans="1:25" ht="12.75">
      <c r="A171" s="16"/>
      <c r="C171" s="56"/>
      <c r="D171" s="57"/>
      <c r="E171" s="57"/>
      <c r="F171" s="57"/>
      <c r="I171" s="48"/>
      <c r="R171" s="48"/>
      <c r="S171" s="48"/>
      <c r="T171" s="53"/>
      <c r="V171" s="53"/>
      <c r="W171" s="53"/>
      <c r="X171" s="53"/>
      <c r="Y171" s="53"/>
    </row>
    <row r="172" spans="1:25" ht="12.75">
      <c r="A172" s="16"/>
      <c r="C172" s="56"/>
      <c r="D172" s="57"/>
      <c r="E172" s="57"/>
      <c r="F172" s="57"/>
      <c r="I172" s="48"/>
      <c r="R172" s="48"/>
      <c r="S172" s="48"/>
      <c r="T172" s="53"/>
      <c r="V172" s="53"/>
      <c r="W172" s="53"/>
      <c r="X172" s="53"/>
      <c r="Y172" s="53"/>
    </row>
    <row r="173" spans="1:25" ht="12.75">
      <c r="A173" s="16"/>
      <c r="C173" s="56"/>
      <c r="D173" s="57"/>
      <c r="E173" s="57"/>
      <c r="F173" s="57"/>
      <c r="I173" s="48"/>
      <c r="R173" s="48"/>
      <c r="S173" s="48"/>
      <c r="T173" s="53"/>
      <c r="V173" s="53"/>
      <c r="W173" s="53"/>
      <c r="X173" s="53"/>
      <c r="Y173" s="53"/>
    </row>
    <row r="174" spans="1:25" ht="12.75">
      <c r="A174" s="16"/>
      <c r="C174" s="56"/>
      <c r="D174" s="57"/>
      <c r="E174" s="57"/>
      <c r="F174" s="57"/>
      <c r="I174" s="48"/>
      <c r="R174" s="48"/>
      <c r="S174" s="48"/>
      <c r="T174" s="53"/>
      <c r="V174" s="53"/>
      <c r="W174" s="53"/>
      <c r="X174" s="53"/>
      <c r="Y174" s="53"/>
    </row>
    <row r="175" spans="1:25" ht="12.75">
      <c r="A175" s="16"/>
      <c r="C175" s="56"/>
      <c r="D175" s="57"/>
      <c r="E175" s="57"/>
      <c r="F175" s="57"/>
      <c r="I175" s="48"/>
      <c r="R175" s="48"/>
      <c r="S175" s="48"/>
      <c r="T175" s="53"/>
      <c r="V175" s="53"/>
      <c r="W175" s="53"/>
      <c r="X175" s="53"/>
      <c r="Y175" s="53"/>
    </row>
    <row r="176" spans="1:25" ht="12.75">
      <c r="A176" s="16"/>
      <c r="C176" s="56"/>
      <c r="D176" s="57"/>
      <c r="E176" s="57"/>
      <c r="F176" s="57"/>
      <c r="I176" s="48"/>
      <c r="R176" s="48"/>
      <c r="S176" s="48"/>
      <c r="T176" s="53"/>
      <c r="V176" s="53"/>
      <c r="W176" s="53"/>
      <c r="X176" s="53"/>
      <c r="Y176" s="53"/>
    </row>
    <row r="177" spans="1:25" ht="12.75">
      <c r="A177" s="16"/>
      <c r="C177" s="56"/>
      <c r="D177" s="57"/>
      <c r="E177" s="57"/>
      <c r="F177" s="57"/>
      <c r="I177" s="48"/>
      <c r="R177" s="48"/>
      <c r="S177" s="48"/>
      <c r="T177" s="53"/>
      <c r="V177" s="53"/>
      <c r="W177" s="53"/>
      <c r="X177" s="53"/>
      <c r="Y177" s="53"/>
    </row>
    <row r="178" spans="1:25" ht="12.75">
      <c r="A178" s="16"/>
      <c r="C178" s="56"/>
      <c r="D178" s="57"/>
      <c r="E178" s="57"/>
      <c r="F178" s="57"/>
      <c r="I178" s="48"/>
      <c r="R178" s="48"/>
      <c r="S178" s="48"/>
      <c r="T178" s="53"/>
      <c r="V178" s="53"/>
      <c r="W178" s="53"/>
      <c r="X178" s="53"/>
      <c r="Y178" s="53"/>
    </row>
    <row r="179" spans="1:25" ht="12.75">
      <c r="A179" s="16"/>
      <c r="C179" s="56"/>
      <c r="D179" s="57"/>
      <c r="E179" s="57"/>
      <c r="F179" s="57"/>
      <c r="I179" s="48"/>
      <c r="R179" s="48"/>
      <c r="S179" s="48"/>
      <c r="T179" s="53"/>
      <c r="V179" s="53"/>
      <c r="W179" s="53"/>
      <c r="X179" s="53"/>
      <c r="Y179" s="53"/>
    </row>
    <row r="180" spans="1:25" ht="12.75">
      <c r="A180" s="16"/>
      <c r="C180" s="56"/>
      <c r="D180" s="57"/>
      <c r="E180" s="57"/>
      <c r="F180" s="57"/>
      <c r="I180" s="48"/>
      <c r="R180" s="48"/>
      <c r="S180" s="48"/>
      <c r="T180" s="53"/>
      <c r="V180" s="53"/>
      <c r="W180" s="53"/>
      <c r="X180" s="53"/>
      <c r="Y180" s="53"/>
    </row>
    <row r="181" spans="1:25" ht="12.75">
      <c r="A181" s="16"/>
      <c r="C181" s="56"/>
      <c r="D181" s="57"/>
      <c r="E181" s="57"/>
      <c r="F181" s="57"/>
      <c r="I181" s="48"/>
      <c r="R181" s="48"/>
      <c r="S181" s="48"/>
      <c r="T181" s="53"/>
      <c r="V181" s="53"/>
      <c r="W181" s="53"/>
      <c r="X181" s="53"/>
      <c r="Y181" s="53"/>
    </row>
    <row r="182" spans="1:25" ht="12.75">
      <c r="A182" s="16"/>
      <c r="C182" s="56"/>
      <c r="D182" s="57"/>
      <c r="E182" s="57"/>
      <c r="F182" s="57"/>
      <c r="I182" s="48"/>
      <c r="R182" s="48"/>
      <c r="S182" s="48"/>
      <c r="T182" s="53"/>
      <c r="V182" s="53"/>
      <c r="W182" s="53"/>
      <c r="X182" s="53"/>
      <c r="Y182" s="53"/>
    </row>
    <row r="183" spans="1:25" ht="12.75">
      <c r="A183" s="16"/>
      <c r="C183" s="56"/>
      <c r="D183" s="57"/>
      <c r="E183" s="57"/>
      <c r="F183" s="57"/>
      <c r="I183" s="48"/>
      <c r="R183" s="48"/>
      <c r="S183" s="48"/>
      <c r="T183" s="53"/>
      <c r="V183" s="53"/>
      <c r="W183" s="53"/>
      <c r="X183" s="53"/>
      <c r="Y183" s="53"/>
    </row>
    <row r="184" spans="1:25" ht="12.75">
      <c r="A184" s="16"/>
      <c r="C184" s="56"/>
      <c r="D184" s="57"/>
      <c r="E184" s="57"/>
      <c r="F184" s="57"/>
      <c r="I184" s="48"/>
      <c r="R184" s="48"/>
      <c r="S184" s="48"/>
      <c r="T184" s="53"/>
      <c r="V184" s="53"/>
      <c r="W184" s="53"/>
      <c r="X184" s="53"/>
      <c r="Y184" s="53"/>
    </row>
    <row r="185" spans="1:25" ht="12.75">
      <c r="A185" s="16"/>
      <c r="C185" s="56"/>
      <c r="D185" s="57"/>
      <c r="E185" s="57"/>
      <c r="F185" s="57"/>
      <c r="I185" s="48"/>
      <c r="R185" s="48"/>
      <c r="S185" s="48"/>
      <c r="T185" s="53"/>
      <c r="V185" s="53"/>
      <c r="W185" s="53"/>
      <c r="X185" s="53"/>
      <c r="Y185" s="53"/>
    </row>
    <row r="186" spans="1:25" ht="12.75">
      <c r="A186" s="16"/>
      <c r="C186" s="56"/>
      <c r="D186" s="57"/>
      <c r="E186" s="57"/>
      <c r="F186" s="57"/>
      <c r="I186" s="48"/>
      <c r="R186" s="48"/>
      <c r="S186" s="48"/>
      <c r="T186" s="53"/>
      <c r="V186" s="53"/>
      <c r="W186" s="53"/>
      <c r="X186" s="53"/>
      <c r="Y186" s="53"/>
    </row>
    <row r="187" spans="1:25" ht="12.75">
      <c r="A187" s="16"/>
      <c r="C187" s="56"/>
      <c r="D187" s="57"/>
      <c r="E187" s="57"/>
      <c r="F187" s="57"/>
      <c r="I187" s="48"/>
      <c r="R187" s="48"/>
      <c r="S187" s="48"/>
      <c r="T187" s="53"/>
      <c r="V187" s="53"/>
      <c r="W187" s="53"/>
      <c r="X187" s="53"/>
      <c r="Y187" s="53"/>
    </row>
    <row r="188" spans="1:25" ht="12.75">
      <c r="A188" s="16"/>
      <c r="C188" s="56"/>
      <c r="D188" s="57"/>
      <c r="E188" s="57"/>
      <c r="F188" s="57"/>
      <c r="I188" s="48"/>
      <c r="R188" s="48"/>
      <c r="S188" s="48"/>
      <c r="T188" s="53"/>
      <c r="V188" s="53"/>
      <c r="W188" s="53"/>
      <c r="X188" s="53"/>
      <c r="Y188" s="53"/>
    </row>
    <row r="189" spans="1:25" ht="12.75">
      <c r="A189" s="16"/>
      <c r="C189" s="56"/>
      <c r="D189" s="57"/>
      <c r="E189" s="57"/>
      <c r="F189" s="57"/>
      <c r="I189" s="48"/>
      <c r="R189" s="48"/>
      <c r="S189" s="48"/>
      <c r="T189" s="53"/>
      <c r="V189" s="53"/>
      <c r="W189" s="53"/>
      <c r="X189" s="53"/>
      <c r="Y189" s="53"/>
    </row>
    <row r="190" spans="1:25" ht="12.75">
      <c r="A190" s="16"/>
      <c r="C190" s="56"/>
      <c r="D190" s="57"/>
      <c r="E190" s="57"/>
      <c r="F190" s="57"/>
      <c r="I190" s="48"/>
      <c r="R190" s="48"/>
      <c r="S190" s="48"/>
      <c r="T190" s="53"/>
      <c r="V190" s="53"/>
      <c r="W190" s="53"/>
      <c r="X190" s="53"/>
      <c r="Y190" s="53"/>
    </row>
    <row r="191" spans="1:25" ht="12.75">
      <c r="A191" s="16"/>
      <c r="C191" s="56"/>
      <c r="D191" s="57"/>
      <c r="E191" s="57"/>
      <c r="F191" s="57"/>
      <c r="I191" s="48"/>
      <c r="R191" s="48"/>
      <c r="S191" s="48"/>
      <c r="T191" s="53"/>
      <c r="V191" s="53"/>
      <c r="W191" s="53"/>
      <c r="X191" s="53"/>
      <c r="Y191" s="53"/>
    </row>
    <row r="192" spans="1:25" ht="12.75">
      <c r="A192" s="16"/>
      <c r="C192" s="56"/>
      <c r="D192" s="57"/>
      <c r="E192" s="57"/>
      <c r="F192" s="57"/>
      <c r="I192" s="48"/>
      <c r="R192" s="48"/>
      <c r="S192" s="48"/>
      <c r="T192" s="53"/>
      <c r="V192" s="53"/>
      <c r="W192" s="53"/>
      <c r="X192" s="53"/>
      <c r="Y192" s="53"/>
    </row>
    <row r="193" spans="1:25" ht="12.75">
      <c r="A193" s="16"/>
      <c r="C193" s="56"/>
      <c r="D193" s="57"/>
      <c r="E193" s="57"/>
      <c r="F193" s="57"/>
      <c r="I193" s="48"/>
      <c r="R193" s="48"/>
      <c r="S193" s="48"/>
      <c r="T193" s="53"/>
      <c r="V193" s="53"/>
      <c r="W193" s="53"/>
      <c r="X193" s="53"/>
      <c r="Y193" s="53"/>
    </row>
    <row r="194" spans="1:25" ht="12.75">
      <c r="A194" s="16"/>
      <c r="C194" s="56"/>
      <c r="D194" s="57"/>
      <c r="E194" s="57"/>
      <c r="F194" s="57"/>
      <c r="I194" s="48"/>
      <c r="R194" s="48"/>
      <c r="S194" s="48"/>
      <c r="T194" s="53"/>
      <c r="V194" s="53"/>
      <c r="W194" s="53"/>
      <c r="X194" s="53"/>
      <c r="Y194" s="53"/>
    </row>
    <row r="195" spans="1:25" ht="12.75">
      <c r="A195" s="16"/>
      <c r="C195" s="56"/>
      <c r="D195" s="57"/>
      <c r="E195" s="57"/>
      <c r="F195" s="57"/>
      <c r="I195" s="48"/>
      <c r="R195" s="48"/>
      <c r="S195" s="48"/>
      <c r="T195" s="53"/>
      <c r="V195" s="53"/>
      <c r="W195" s="53"/>
      <c r="X195" s="53"/>
      <c r="Y195" s="53"/>
    </row>
    <row r="196" spans="1:25" ht="12.75">
      <c r="A196" s="16"/>
      <c r="C196" s="56"/>
      <c r="D196" s="57"/>
      <c r="E196" s="57"/>
      <c r="F196" s="57"/>
      <c r="I196" s="48"/>
      <c r="R196" s="48"/>
      <c r="S196" s="48"/>
      <c r="T196" s="53"/>
      <c r="V196" s="53"/>
      <c r="W196" s="53"/>
      <c r="X196" s="53"/>
      <c r="Y196" s="53"/>
    </row>
    <row r="197" spans="1:25" ht="12.75">
      <c r="A197" s="16"/>
      <c r="C197" s="56"/>
      <c r="D197" s="57"/>
      <c r="E197" s="57"/>
      <c r="F197" s="57"/>
      <c r="I197" s="48"/>
      <c r="R197" s="48"/>
      <c r="S197" s="48"/>
      <c r="T197" s="53"/>
      <c r="V197" s="53"/>
      <c r="W197" s="53"/>
      <c r="X197" s="53"/>
      <c r="Y197" s="53"/>
    </row>
    <row r="198" spans="1:25" ht="12.75">
      <c r="A198" s="16"/>
      <c r="C198" s="56"/>
      <c r="D198" s="57"/>
      <c r="E198" s="57"/>
      <c r="F198" s="57"/>
      <c r="I198" s="48"/>
      <c r="R198" s="48"/>
      <c r="S198" s="48"/>
      <c r="T198" s="53"/>
      <c r="V198" s="53"/>
      <c r="W198" s="53"/>
      <c r="X198" s="53"/>
      <c r="Y198" s="53"/>
    </row>
    <row r="199" spans="1:25" ht="12.75">
      <c r="A199" s="16"/>
      <c r="C199" s="56"/>
      <c r="D199" s="57"/>
      <c r="E199" s="57"/>
      <c r="F199" s="57"/>
      <c r="I199" s="48"/>
      <c r="R199" s="48"/>
      <c r="S199" s="48"/>
      <c r="T199" s="53"/>
      <c r="V199" s="53"/>
      <c r="W199" s="53"/>
      <c r="X199" s="53"/>
      <c r="Y199" s="53"/>
    </row>
    <row r="200" spans="1:25" ht="12.75">
      <c r="A200" s="16"/>
      <c r="C200" s="56"/>
      <c r="D200" s="57"/>
      <c r="E200" s="57"/>
      <c r="F200" s="57"/>
      <c r="I200" s="48"/>
      <c r="R200" s="48"/>
      <c r="S200" s="48"/>
      <c r="T200" s="53"/>
      <c r="V200" s="53"/>
      <c r="W200" s="53"/>
      <c r="X200" s="53"/>
      <c r="Y200" s="53"/>
    </row>
    <row r="201" spans="1:25" ht="12.75">
      <c r="A201" s="16"/>
      <c r="C201" s="56"/>
      <c r="D201" s="57"/>
      <c r="E201" s="57"/>
      <c r="F201" s="57"/>
      <c r="I201" s="48"/>
      <c r="R201" s="48"/>
      <c r="S201" s="48"/>
      <c r="T201" s="53"/>
      <c r="V201" s="53"/>
      <c r="W201" s="53"/>
      <c r="X201" s="53"/>
      <c r="Y201" s="53"/>
    </row>
    <row r="202" spans="1:25" ht="12.75">
      <c r="A202" s="16"/>
      <c r="C202" s="56"/>
      <c r="D202" s="57"/>
      <c r="E202" s="57"/>
      <c r="F202" s="57"/>
      <c r="I202" s="48"/>
      <c r="R202" s="48"/>
      <c r="S202" s="48"/>
      <c r="T202" s="53"/>
      <c r="V202" s="53"/>
      <c r="W202" s="53"/>
      <c r="X202" s="53"/>
      <c r="Y202" s="53"/>
    </row>
    <row r="203" spans="1:25" ht="12.75">
      <c r="A203" s="16"/>
      <c r="C203" s="56"/>
      <c r="D203" s="57"/>
      <c r="E203" s="57"/>
      <c r="F203" s="57"/>
      <c r="I203" s="48"/>
      <c r="R203" s="48"/>
      <c r="S203" s="48"/>
      <c r="T203" s="53"/>
      <c r="V203" s="53"/>
      <c r="W203" s="53"/>
      <c r="X203" s="53"/>
      <c r="Y203" s="53"/>
    </row>
    <row r="204" spans="1:25" ht="12.75">
      <c r="A204" s="16"/>
      <c r="C204" s="56"/>
      <c r="D204" s="57"/>
      <c r="E204" s="57"/>
      <c r="F204" s="57"/>
      <c r="I204" s="48"/>
      <c r="R204" s="48"/>
      <c r="S204" s="48"/>
      <c r="T204" s="53"/>
      <c r="V204" s="53"/>
      <c r="W204" s="53"/>
      <c r="X204" s="53"/>
      <c r="Y204" s="53"/>
    </row>
    <row r="205" spans="1:25" ht="12.75">
      <c r="A205" s="16"/>
      <c r="C205" s="56"/>
      <c r="D205" s="57"/>
      <c r="E205" s="57"/>
      <c r="F205" s="57"/>
      <c r="I205" s="48"/>
      <c r="R205" s="48"/>
      <c r="S205" s="48"/>
      <c r="T205" s="53"/>
      <c r="V205" s="53"/>
      <c r="W205" s="53"/>
      <c r="X205" s="53"/>
      <c r="Y205" s="53"/>
    </row>
    <row r="206" spans="1:25" ht="12.75">
      <c r="A206" s="16"/>
      <c r="C206" s="56"/>
      <c r="D206" s="57"/>
      <c r="E206" s="57"/>
      <c r="F206" s="57"/>
      <c r="I206" s="48"/>
      <c r="R206" s="48"/>
      <c r="S206" s="48"/>
      <c r="T206" s="53"/>
      <c r="V206" s="53"/>
      <c r="W206" s="53"/>
      <c r="X206" s="53"/>
      <c r="Y206" s="53"/>
    </row>
    <row r="207" spans="1:25" ht="12.75">
      <c r="A207" s="16"/>
      <c r="C207" s="56"/>
      <c r="D207" s="57"/>
      <c r="E207" s="57"/>
      <c r="F207" s="57"/>
      <c r="I207" s="48"/>
      <c r="R207" s="48"/>
      <c r="S207" s="48"/>
      <c r="T207" s="53"/>
      <c r="V207" s="53"/>
      <c r="W207" s="53"/>
      <c r="X207" s="53"/>
      <c r="Y207" s="53"/>
    </row>
    <row r="208" spans="1:25" ht="12.75">
      <c r="A208" s="16"/>
      <c r="C208" s="56"/>
      <c r="D208" s="57"/>
      <c r="E208" s="57"/>
      <c r="F208" s="57"/>
      <c r="I208" s="48"/>
      <c r="R208" s="48"/>
      <c r="S208" s="48"/>
      <c r="T208" s="53"/>
      <c r="V208" s="53"/>
      <c r="W208" s="53"/>
      <c r="X208" s="53"/>
      <c r="Y208" s="53"/>
    </row>
    <row r="209" spans="1:25" ht="12.75">
      <c r="A209" s="16"/>
      <c r="C209" s="56"/>
      <c r="D209" s="57"/>
      <c r="E209" s="57"/>
      <c r="F209" s="57"/>
      <c r="I209" s="48"/>
      <c r="R209" s="48"/>
      <c r="S209" s="48"/>
      <c r="T209" s="53"/>
      <c r="V209" s="53"/>
      <c r="W209" s="53"/>
      <c r="X209" s="53"/>
      <c r="Y209" s="53"/>
    </row>
    <row r="210" spans="1:25" ht="12.75">
      <c r="A210" s="16"/>
      <c r="C210" s="56"/>
      <c r="D210" s="57"/>
      <c r="E210" s="57"/>
      <c r="F210" s="57"/>
      <c r="I210" s="48"/>
      <c r="R210" s="48"/>
      <c r="S210" s="48"/>
      <c r="T210" s="53"/>
      <c r="V210" s="53"/>
      <c r="W210" s="53"/>
      <c r="X210" s="53"/>
      <c r="Y210" s="53"/>
    </row>
    <row r="211" spans="1:25" ht="12.75">
      <c r="A211" s="16"/>
      <c r="C211" s="56"/>
      <c r="D211" s="57"/>
      <c r="E211" s="57"/>
      <c r="F211" s="57"/>
      <c r="I211" s="48"/>
      <c r="R211" s="48"/>
      <c r="S211" s="48"/>
      <c r="T211" s="53"/>
      <c r="V211" s="53"/>
      <c r="W211" s="53"/>
      <c r="X211" s="53"/>
      <c r="Y211" s="53"/>
    </row>
    <row r="212" spans="1:25" ht="12.75">
      <c r="A212" s="16"/>
      <c r="C212" s="56"/>
      <c r="D212" s="57"/>
      <c r="E212" s="57"/>
      <c r="F212" s="57"/>
      <c r="I212" s="48"/>
      <c r="R212" s="48"/>
      <c r="S212" s="48"/>
      <c r="T212" s="53"/>
      <c r="V212" s="53"/>
      <c r="W212" s="53"/>
      <c r="X212" s="53"/>
      <c r="Y212" s="53"/>
    </row>
    <row r="213" spans="1:25" ht="12.75">
      <c r="A213" s="16"/>
      <c r="C213" s="56"/>
      <c r="D213" s="57"/>
      <c r="E213" s="57"/>
      <c r="F213" s="57"/>
      <c r="I213" s="48"/>
      <c r="R213" s="48"/>
      <c r="S213" s="48"/>
      <c r="T213" s="53"/>
      <c r="V213" s="53"/>
      <c r="W213" s="53"/>
      <c r="X213" s="53"/>
      <c r="Y213" s="53"/>
    </row>
    <row r="214" spans="1:25" ht="12.75">
      <c r="A214" s="16"/>
      <c r="C214" s="56"/>
      <c r="D214" s="57"/>
      <c r="E214" s="57"/>
      <c r="F214" s="57"/>
      <c r="I214" s="48"/>
      <c r="R214" s="48"/>
      <c r="S214" s="48"/>
      <c r="T214" s="53"/>
      <c r="V214" s="53"/>
      <c r="W214" s="53"/>
      <c r="X214" s="53"/>
      <c r="Y214" s="53"/>
    </row>
    <row r="215" spans="1:25" ht="12.75">
      <c r="A215" s="16"/>
      <c r="C215" s="56"/>
      <c r="D215" s="57"/>
      <c r="E215" s="57"/>
      <c r="F215" s="57"/>
      <c r="I215" s="48"/>
      <c r="R215" s="48"/>
      <c r="S215" s="48"/>
      <c r="T215" s="53"/>
      <c r="V215" s="53"/>
      <c r="W215" s="53"/>
      <c r="X215" s="53"/>
      <c r="Y215" s="53"/>
    </row>
    <row r="216" spans="1:25" ht="12.75">
      <c r="A216" s="16"/>
      <c r="C216" s="56"/>
      <c r="D216" s="57"/>
      <c r="E216" s="57"/>
      <c r="F216" s="57"/>
      <c r="I216" s="48"/>
      <c r="R216" s="48"/>
      <c r="S216" s="48"/>
      <c r="T216" s="53"/>
      <c r="V216" s="53"/>
      <c r="W216" s="53"/>
      <c r="X216" s="53"/>
      <c r="Y216" s="53"/>
    </row>
    <row r="217" spans="1:25" ht="12.75">
      <c r="A217" s="16"/>
      <c r="C217" s="56"/>
      <c r="D217" s="57"/>
      <c r="E217" s="57"/>
      <c r="F217" s="57"/>
      <c r="I217" s="48"/>
      <c r="R217" s="48"/>
      <c r="S217" s="48"/>
      <c r="T217" s="53"/>
      <c r="V217" s="53"/>
      <c r="W217" s="53"/>
      <c r="X217" s="53"/>
      <c r="Y217" s="53"/>
    </row>
    <row r="218" spans="1:25" ht="12.75">
      <c r="A218" s="16"/>
      <c r="C218" s="56"/>
      <c r="D218" s="57"/>
      <c r="E218" s="57"/>
      <c r="F218" s="57"/>
      <c r="I218" s="48"/>
      <c r="R218" s="48"/>
      <c r="S218" s="48"/>
      <c r="T218" s="53"/>
      <c r="V218" s="53"/>
      <c r="W218" s="53"/>
      <c r="X218" s="53"/>
      <c r="Y218" s="53"/>
    </row>
    <row r="219" spans="1:25" ht="12.75">
      <c r="A219" s="16"/>
      <c r="C219" s="56"/>
      <c r="D219" s="57"/>
      <c r="E219" s="57"/>
      <c r="F219" s="57"/>
      <c r="I219" s="48"/>
      <c r="R219" s="48"/>
      <c r="S219" s="48"/>
      <c r="T219" s="53"/>
      <c r="V219" s="53"/>
      <c r="W219" s="53"/>
      <c r="X219" s="53"/>
      <c r="Y219" s="53"/>
    </row>
    <row r="220" spans="1:25" ht="12.75">
      <c r="A220" s="16"/>
      <c r="C220" s="56"/>
      <c r="D220" s="57"/>
      <c r="E220" s="57"/>
      <c r="F220" s="57"/>
      <c r="I220" s="48"/>
      <c r="R220" s="48"/>
      <c r="S220" s="48"/>
      <c r="T220" s="53"/>
      <c r="V220" s="53"/>
      <c r="W220" s="53"/>
      <c r="X220" s="53"/>
      <c r="Y220" s="53"/>
    </row>
    <row r="221" spans="1:25" ht="12.75">
      <c r="A221" s="16"/>
      <c r="C221" s="56"/>
      <c r="D221" s="57"/>
      <c r="E221" s="57"/>
      <c r="F221" s="57"/>
      <c r="I221" s="48"/>
      <c r="R221" s="48"/>
      <c r="S221" s="48"/>
      <c r="T221" s="53"/>
      <c r="V221" s="53"/>
      <c r="W221" s="53"/>
      <c r="X221" s="53"/>
      <c r="Y221" s="53"/>
    </row>
    <row r="222" spans="1:25" ht="12.75">
      <c r="A222" s="16"/>
      <c r="C222" s="56"/>
      <c r="D222" s="57"/>
      <c r="E222" s="57"/>
      <c r="F222" s="57"/>
      <c r="I222" s="48"/>
      <c r="R222" s="48"/>
      <c r="S222" s="48"/>
      <c r="T222" s="53"/>
      <c r="V222" s="53"/>
      <c r="W222" s="53"/>
      <c r="X222" s="53"/>
      <c r="Y222" s="53"/>
    </row>
    <row r="223" spans="1:25" ht="12.75">
      <c r="A223" s="16"/>
      <c r="C223" s="56"/>
      <c r="D223" s="57"/>
      <c r="E223" s="57"/>
      <c r="F223" s="57"/>
      <c r="I223" s="48"/>
      <c r="R223" s="48"/>
      <c r="S223" s="48"/>
      <c r="T223" s="53"/>
      <c r="V223" s="53"/>
      <c r="W223" s="53"/>
      <c r="X223" s="53"/>
      <c r="Y223" s="53"/>
    </row>
    <row r="224" spans="1:25" ht="12.75">
      <c r="A224" s="16"/>
      <c r="C224" s="56"/>
      <c r="D224" s="57"/>
      <c r="E224" s="57"/>
      <c r="F224" s="57"/>
      <c r="I224" s="48"/>
      <c r="R224" s="48"/>
      <c r="S224" s="48"/>
      <c r="T224" s="53"/>
      <c r="V224" s="53"/>
      <c r="W224" s="53"/>
      <c r="X224" s="53"/>
      <c r="Y224" s="53"/>
    </row>
    <row r="225" spans="1:25" ht="12.75">
      <c r="A225" s="16"/>
      <c r="C225" s="56"/>
      <c r="D225" s="57"/>
      <c r="E225" s="57"/>
      <c r="F225" s="57"/>
      <c r="I225" s="48"/>
      <c r="R225" s="48"/>
      <c r="S225" s="48"/>
      <c r="T225" s="53"/>
      <c r="V225" s="53"/>
      <c r="W225" s="53"/>
      <c r="X225" s="53"/>
      <c r="Y225" s="53"/>
    </row>
    <row r="226" spans="1:25" ht="12.75">
      <c r="A226" s="16"/>
      <c r="C226" s="56"/>
      <c r="D226" s="57"/>
      <c r="E226" s="57"/>
      <c r="F226" s="57"/>
      <c r="I226" s="48"/>
      <c r="R226" s="48"/>
      <c r="S226" s="48"/>
      <c r="T226" s="53"/>
      <c r="V226" s="53"/>
      <c r="W226" s="53"/>
      <c r="X226" s="53"/>
      <c r="Y226" s="53"/>
    </row>
    <row r="227" spans="1:25" ht="12.75">
      <c r="A227" s="16"/>
      <c r="C227" s="56"/>
      <c r="D227" s="57"/>
      <c r="E227" s="57"/>
      <c r="F227" s="57"/>
      <c r="I227" s="48"/>
      <c r="R227" s="48"/>
      <c r="S227" s="48"/>
      <c r="T227" s="53"/>
      <c r="V227" s="53"/>
      <c r="W227" s="53"/>
      <c r="X227" s="53"/>
      <c r="Y227" s="53"/>
    </row>
    <row r="228" spans="1:25" ht="12.75">
      <c r="A228" s="16"/>
      <c r="C228" s="56"/>
      <c r="D228" s="57"/>
      <c r="E228" s="57"/>
      <c r="F228" s="57"/>
      <c r="I228" s="48"/>
      <c r="R228" s="48"/>
      <c r="S228" s="48"/>
      <c r="T228" s="53"/>
      <c r="V228" s="53"/>
      <c r="W228" s="53"/>
      <c r="X228" s="53"/>
      <c r="Y228" s="53"/>
    </row>
    <row r="229" spans="1:25" ht="12.75">
      <c r="A229" s="16"/>
      <c r="C229" s="56"/>
      <c r="D229" s="57"/>
      <c r="E229" s="57"/>
      <c r="F229" s="57"/>
      <c r="I229" s="48"/>
      <c r="R229" s="48"/>
      <c r="S229" s="48"/>
      <c r="T229" s="53"/>
      <c r="V229" s="53"/>
      <c r="W229" s="53"/>
      <c r="X229" s="53"/>
      <c r="Y229" s="53"/>
    </row>
    <row r="230" spans="1:25" ht="12.75">
      <c r="A230" s="16"/>
      <c r="C230" s="56"/>
      <c r="D230" s="57"/>
      <c r="E230" s="57"/>
      <c r="F230" s="57"/>
      <c r="I230" s="48"/>
      <c r="R230" s="48"/>
      <c r="S230" s="48"/>
      <c r="T230" s="53"/>
      <c r="V230" s="53"/>
      <c r="W230" s="53"/>
      <c r="X230" s="53"/>
      <c r="Y230" s="53"/>
    </row>
    <row r="231" spans="1:25" ht="12.75">
      <c r="A231" s="16"/>
      <c r="C231" s="56"/>
      <c r="D231" s="57"/>
      <c r="E231" s="57"/>
      <c r="F231" s="57"/>
      <c r="I231" s="48"/>
      <c r="R231" s="48"/>
      <c r="S231" s="48"/>
      <c r="T231" s="53"/>
      <c r="V231" s="53"/>
      <c r="W231" s="53"/>
      <c r="X231" s="53"/>
      <c r="Y231" s="53"/>
    </row>
    <row r="232" spans="1:25" ht="12.75">
      <c r="A232" s="16"/>
      <c r="C232" s="56"/>
      <c r="D232" s="57"/>
      <c r="E232" s="57"/>
      <c r="F232" s="57"/>
      <c r="I232" s="48"/>
      <c r="R232" s="48"/>
      <c r="S232" s="48"/>
      <c r="T232" s="53"/>
      <c r="V232" s="53"/>
      <c r="W232" s="53"/>
      <c r="X232" s="53"/>
      <c r="Y232" s="53"/>
    </row>
    <row r="233" spans="1:25" ht="12.75">
      <c r="A233" s="16"/>
      <c r="C233" s="56"/>
      <c r="D233" s="57"/>
      <c r="E233" s="57"/>
      <c r="F233" s="57"/>
      <c r="I233" s="48"/>
      <c r="R233" s="48"/>
      <c r="S233" s="48"/>
      <c r="T233" s="53"/>
      <c r="V233" s="53"/>
      <c r="W233" s="53"/>
      <c r="X233" s="53"/>
      <c r="Y233" s="53"/>
    </row>
    <row r="234" spans="1:25" ht="12.75">
      <c r="A234" s="16"/>
      <c r="C234" s="56"/>
      <c r="D234" s="57"/>
      <c r="E234" s="57"/>
      <c r="F234" s="57"/>
      <c r="I234" s="48"/>
      <c r="R234" s="48"/>
      <c r="S234" s="48"/>
      <c r="T234" s="53"/>
      <c r="V234" s="53"/>
      <c r="W234" s="53"/>
      <c r="X234" s="53"/>
      <c r="Y234" s="53"/>
    </row>
    <row r="235" spans="1:25" ht="12.75">
      <c r="A235" s="16"/>
      <c r="C235" s="56"/>
      <c r="D235" s="57"/>
      <c r="E235" s="57"/>
      <c r="F235" s="57"/>
      <c r="I235" s="48"/>
      <c r="R235" s="48"/>
      <c r="S235" s="48"/>
      <c r="T235" s="53"/>
      <c r="V235" s="53"/>
      <c r="W235" s="53"/>
      <c r="X235" s="53"/>
      <c r="Y235" s="53"/>
    </row>
    <row r="236" spans="1:25" ht="12.75">
      <c r="A236" s="16"/>
      <c r="C236" s="56"/>
      <c r="D236" s="57"/>
      <c r="E236" s="57"/>
      <c r="F236" s="57"/>
      <c r="I236" s="48"/>
      <c r="R236" s="48"/>
      <c r="S236" s="48"/>
      <c r="T236" s="53"/>
      <c r="V236" s="53"/>
      <c r="W236" s="53"/>
      <c r="X236" s="53"/>
      <c r="Y236" s="53"/>
    </row>
    <row r="237" spans="1:25" ht="12.75">
      <c r="A237" s="16"/>
      <c r="C237" s="56"/>
      <c r="D237" s="57"/>
      <c r="E237" s="57"/>
      <c r="F237" s="57"/>
      <c r="I237" s="48"/>
      <c r="R237" s="48"/>
      <c r="S237" s="48"/>
      <c r="T237" s="53"/>
      <c r="V237" s="53"/>
      <c r="W237" s="53"/>
      <c r="X237" s="53"/>
      <c r="Y237" s="53"/>
    </row>
    <row r="238" spans="1:25" ht="12.75">
      <c r="A238" s="16"/>
      <c r="C238" s="56"/>
      <c r="D238" s="57"/>
      <c r="E238" s="57"/>
      <c r="F238" s="57"/>
      <c r="I238" s="48"/>
      <c r="R238" s="48"/>
      <c r="S238" s="48"/>
      <c r="T238" s="53"/>
      <c r="V238" s="53"/>
      <c r="W238" s="53"/>
      <c r="X238" s="53"/>
      <c r="Y238" s="53"/>
    </row>
    <row r="239" spans="1:25" ht="12.75">
      <c r="A239" s="16"/>
      <c r="C239" s="56"/>
      <c r="D239" s="57"/>
      <c r="E239" s="57"/>
      <c r="F239" s="57"/>
      <c r="I239" s="48"/>
      <c r="R239" s="48"/>
      <c r="S239" s="48"/>
      <c r="T239" s="53"/>
      <c r="V239" s="53"/>
      <c r="W239" s="53"/>
      <c r="X239" s="53"/>
      <c r="Y239" s="53"/>
    </row>
    <row r="240" spans="1:25" ht="12.75">
      <c r="A240" s="16"/>
      <c r="C240" s="56"/>
      <c r="D240" s="57"/>
      <c r="E240" s="57"/>
      <c r="F240" s="57"/>
      <c r="I240" s="48"/>
      <c r="R240" s="48"/>
      <c r="S240" s="48"/>
      <c r="T240" s="53"/>
      <c r="V240" s="53"/>
      <c r="W240" s="53"/>
      <c r="X240" s="53"/>
      <c r="Y240" s="53"/>
    </row>
    <row r="241" spans="1:25" ht="12.75">
      <c r="A241" s="16"/>
      <c r="C241" s="56"/>
      <c r="D241" s="57"/>
      <c r="E241" s="57"/>
      <c r="F241" s="57"/>
      <c r="I241" s="48"/>
      <c r="R241" s="48"/>
      <c r="S241" s="48"/>
      <c r="T241" s="53"/>
      <c r="V241" s="53"/>
      <c r="W241" s="53"/>
      <c r="X241" s="53"/>
      <c r="Y241" s="53"/>
    </row>
    <row r="242" spans="1:25" ht="12.75">
      <c r="A242" s="16"/>
      <c r="C242" s="56"/>
      <c r="D242" s="57"/>
      <c r="E242" s="57"/>
      <c r="F242" s="57"/>
      <c r="I242" s="48"/>
      <c r="R242" s="48"/>
      <c r="S242" s="48"/>
      <c r="T242" s="53"/>
      <c r="V242" s="53"/>
      <c r="W242" s="53"/>
      <c r="X242" s="53"/>
      <c r="Y242" s="53"/>
    </row>
    <row r="243" spans="1:25" ht="12.75">
      <c r="A243" s="16"/>
      <c r="C243" s="56"/>
      <c r="D243" s="57"/>
      <c r="E243" s="57"/>
      <c r="F243" s="57"/>
      <c r="I243" s="48"/>
      <c r="R243" s="48"/>
      <c r="S243" s="48"/>
      <c r="T243" s="53"/>
      <c r="V243" s="53"/>
      <c r="W243" s="53"/>
      <c r="X243" s="53"/>
      <c r="Y243" s="53"/>
    </row>
    <row r="244" spans="1:25" ht="12.75">
      <c r="A244" s="16"/>
      <c r="C244" s="56"/>
      <c r="D244" s="57"/>
      <c r="E244" s="57"/>
      <c r="F244" s="57"/>
      <c r="I244" s="48"/>
      <c r="R244" s="48"/>
      <c r="S244" s="48"/>
      <c r="T244" s="53"/>
      <c r="V244" s="53"/>
      <c r="W244" s="53"/>
      <c r="X244" s="53"/>
      <c r="Y244" s="53"/>
    </row>
    <row r="245" spans="1:25" ht="12.75">
      <c r="A245" s="16"/>
      <c r="C245" s="56"/>
      <c r="D245" s="57"/>
      <c r="E245" s="57"/>
      <c r="F245" s="57"/>
      <c r="I245" s="48"/>
      <c r="R245" s="48"/>
      <c r="S245" s="48"/>
      <c r="T245" s="53"/>
      <c r="V245" s="53"/>
      <c r="W245" s="53"/>
      <c r="X245" s="53"/>
      <c r="Y245" s="53"/>
    </row>
    <row r="246" spans="1:25" ht="12.75">
      <c r="A246" s="16"/>
      <c r="C246" s="56"/>
      <c r="D246" s="57"/>
      <c r="E246" s="57"/>
      <c r="F246" s="57"/>
      <c r="I246" s="48"/>
      <c r="R246" s="48"/>
      <c r="S246" s="48"/>
      <c r="T246" s="53"/>
      <c r="V246" s="53"/>
      <c r="W246" s="53"/>
      <c r="X246" s="53"/>
      <c r="Y246" s="53"/>
    </row>
    <row r="247" spans="1:25" ht="12.75">
      <c r="A247" s="16"/>
      <c r="C247" s="56"/>
      <c r="D247" s="57"/>
      <c r="E247" s="57"/>
      <c r="F247" s="57"/>
      <c r="I247" s="48"/>
      <c r="R247" s="48"/>
      <c r="S247" s="48"/>
      <c r="T247" s="53"/>
      <c r="V247" s="53"/>
      <c r="W247" s="53"/>
      <c r="X247" s="53"/>
      <c r="Y247" s="53"/>
    </row>
    <row r="248" spans="1:25" ht="12.75">
      <c r="A248" s="16"/>
      <c r="C248" s="56"/>
      <c r="D248" s="57"/>
      <c r="E248" s="57"/>
      <c r="F248" s="57"/>
      <c r="I248" s="48"/>
      <c r="R248" s="48"/>
      <c r="S248" s="48"/>
      <c r="T248" s="53"/>
      <c r="V248" s="53"/>
      <c r="W248" s="53"/>
      <c r="X248" s="53"/>
      <c r="Y248" s="53"/>
    </row>
    <row r="249" spans="1:25" ht="12.75">
      <c r="A249" s="16"/>
      <c r="C249" s="56"/>
      <c r="D249" s="57"/>
      <c r="E249" s="57"/>
      <c r="F249" s="57"/>
      <c r="I249" s="48"/>
      <c r="R249" s="48"/>
      <c r="S249" s="48"/>
      <c r="T249" s="53"/>
      <c r="V249" s="53"/>
      <c r="W249" s="53"/>
      <c r="X249" s="53"/>
      <c r="Y249" s="53"/>
    </row>
    <row r="250" spans="1:25" ht="12.75">
      <c r="A250" s="16"/>
      <c r="C250" s="56"/>
      <c r="D250" s="57"/>
      <c r="E250" s="57"/>
      <c r="F250" s="57"/>
      <c r="I250" s="48"/>
      <c r="R250" s="48"/>
      <c r="S250" s="48"/>
      <c r="T250" s="53"/>
      <c r="V250" s="53"/>
      <c r="W250" s="53"/>
      <c r="X250" s="53"/>
      <c r="Y250" s="53"/>
    </row>
    <row r="251" spans="1:25" ht="12.75">
      <c r="A251" s="16"/>
      <c r="C251" s="56"/>
      <c r="D251" s="57"/>
      <c r="E251" s="57"/>
      <c r="F251" s="57"/>
      <c r="I251" s="48"/>
      <c r="R251" s="48"/>
      <c r="S251" s="48"/>
      <c r="T251" s="53"/>
      <c r="V251" s="53"/>
      <c r="W251" s="53"/>
      <c r="X251" s="53"/>
      <c r="Y251" s="53"/>
    </row>
    <row r="252" spans="1:25" ht="12.75">
      <c r="A252" s="16"/>
      <c r="C252" s="56"/>
      <c r="D252" s="57"/>
      <c r="E252" s="57"/>
      <c r="F252" s="57"/>
      <c r="I252" s="48"/>
      <c r="R252" s="48"/>
      <c r="S252" s="48"/>
      <c r="T252" s="53"/>
      <c r="V252" s="53"/>
      <c r="W252" s="53"/>
      <c r="X252" s="53"/>
      <c r="Y252" s="53"/>
    </row>
    <row r="253" spans="1:25" ht="12.75">
      <c r="A253" s="16"/>
      <c r="C253" s="56"/>
      <c r="D253" s="57"/>
      <c r="E253" s="57"/>
      <c r="F253" s="57"/>
      <c r="I253" s="48"/>
      <c r="R253" s="48"/>
      <c r="S253" s="48"/>
      <c r="T253" s="53"/>
      <c r="V253" s="53"/>
      <c r="W253" s="53"/>
      <c r="X253" s="53"/>
      <c r="Y253" s="53"/>
    </row>
    <row r="254" spans="1:25" ht="12.75">
      <c r="A254" s="16"/>
      <c r="C254" s="56"/>
      <c r="D254" s="57"/>
      <c r="E254" s="57"/>
      <c r="F254" s="57"/>
      <c r="I254" s="48"/>
      <c r="R254" s="48"/>
      <c r="S254" s="48"/>
      <c r="T254" s="53"/>
      <c r="V254" s="53"/>
      <c r="W254" s="53"/>
      <c r="X254" s="53"/>
      <c r="Y254" s="53"/>
    </row>
    <row r="255" spans="1:25" ht="12.75">
      <c r="A255" s="16"/>
      <c r="C255" s="56"/>
      <c r="D255" s="57"/>
      <c r="E255" s="57"/>
      <c r="F255" s="57"/>
      <c r="I255" s="48"/>
      <c r="R255" s="48"/>
      <c r="S255" s="48"/>
      <c r="T255" s="53"/>
      <c r="V255" s="53"/>
      <c r="W255" s="53"/>
      <c r="X255" s="53"/>
      <c r="Y255" s="53"/>
    </row>
    <row r="256" spans="1:25" ht="12.75">
      <c r="A256" s="16"/>
      <c r="C256" s="56"/>
      <c r="D256" s="57"/>
      <c r="E256" s="57"/>
      <c r="F256" s="57"/>
      <c r="I256" s="48"/>
      <c r="R256" s="48"/>
      <c r="S256" s="48"/>
      <c r="T256" s="53"/>
      <c r="V256" s="53"/>
      <c r="W256" s="53"/>
      <c r="X256" s="53"/>
      <c r="Y256" s="53"/>
    </row>
    <row r="257" spans="1:25" ht="12.75">
      <c r="A257" s="16"/>
      <c r="C257" s="56"/>
      <c r="D257" s="57"/>
      <c r="E257" s="57"/>
      <c r="F257" s="57"/>
      <c r="I257" s="48"/>
      <c r="R257" s="48"/>
      <c r="S257" s="48"/>
      <c r="T257" s="53"/>
      <c r="V257" s="53"/>
      <c r="W257" s="53"/>
      <c r="X257" s="53"/>
      <c r="Y257" s="53"/>
    </row>
    <row r="258" spans="1:25" ht="12.75">
      <c r="A258" s="16"/>
      <c r="C258" s="56"/>
      <c r="D258" s="57"/>
      <c r="E258" s="57"/>
      <c r="F258" s="57"/>
      <c r="I258" s="48"/>
      <c r="R258" s="48"/>
      <c r="S258" s="48"/>
      <c r="T258" s="53"/>
      <c r="V258" s="53"/>
      <c r="W258" s="53"/>
      <c r="X258" s="53"/>
      <c r="Y258" s="53"/>
    </row>
    <row r="259" spans="1:25" ht="12.75">
      <c r="A259" s="16"/>
      <c r="C259" s="56"/>
      <c r="D259" s="57"/>
      <c r="E259" s="57"/>
      <c r="F259" s="57"/>
      <c r="I259" s="48"/>
      <c r="R259" s="48"/>
      <c r="S259" s="48"/>
      <c r="T259" s="53"/>
      <c r="V259" s="53"/>
      <c r="W259" s="53"/>
      <c r="X259" s="53"/>
      <c r="Y259" s="53"/>
    </row>
    <row r="260" spans="1:25" ht="12.75">
      <c r="A260" s="16"/>
      <c r="C260" s="56"/>
      <c r="D260" s="57"/>
      <c r="E260" s="57"/>
      <c r="F260" s="57"/>
      <c r="I260" s="48"/>
      <c r="R260" s="48"/>
      <c r="S260" s="48"/>
      <c r="T260" s="53"/>
      <c r="V260" s="53"/>
      <c r="W260" s="53"/>
      <c r="X260" s="53"/>
      <c r="Y260" s="53"/>
    </row>
    <row r="261" spans="1:25" ht="12.75">
      <c r="A261" s="16"/>
      <c r="C261" s="56"/>
      <c r="D261" s="57"/>
      <c r="E261" s="57"/>
      <c r="F261" s="57"/>
      <c r="I261" s="48"/>
      <c r="R261" s="48"/>
      <c r="S261" s="48"/>
      <c r="T261" s="53"/>
      <c r="V261" s="53"/>
      <c r="W261" s="53"/>
      <c r="X261" s="53"/>
      <c r="Y261" s="53"/>
    </row>
    <row r="262" spans="1:25" ht="12.75">
      <c r="A262" s="16"/>
      <c r="C262" s="56"/>
      <c r="D262" s="57"/>
      <c r="E262" s="57"/>
      <c r="F262" s="57"/>
      <c r="I262" s="48"/>
      <c r="R262" s="48"/>
      <c r="S262" s="48"/>
      <c r="T262" s="53"/>
      <c r="V262" s="53"/>
      <c r="W262" s="53"/>
      <c r="X262" s="53"/>
      <c r="Y262" s="53"/>
    </row>
    <row r="263" spans="1:25" ht="12.75">
      <c r="A263" s="16"/>
      <c r="C263" s="56"/>
      <c r="D263" s="57"/>
      <c r="E263" s="57"/>
      <c r="F263" s="57"/>
      <c r="I263" s="48"/>
      <c r="R263" s="48"/>
      <c r="S263" s="48"/>
      <c r="T263" s="53"/>
      <c r="V263" s="53"/>
      <c r="W263" s="53"/>
      <c r="X263" s="53"/>
      <c r="Y263" s="53"/>
    </row>
    <row r="264" spans="1:25" ht="12.75">
      <c r="A264" s="16"/>
      <c r="C264" s="56"/>
      <c r="D264" s="57"/>
      <c r="E264" s="57"/>
      <c r="F264" s="57"/>
      <c r="I264" s="48"/>
      <c r="R264" s="48"/>
      <c r="S264" s="48"/>
      <c r="T264" s="53"/>
      <c r="V264" s="53"/>
      <c r="W264" s="53"/>
      <c r="X264" s="53"/>
      <c r="Y264" s="53"/>
    </row>
    <row r="265" spans="1:25" ht="12.75">
      <c r="A265" s="16"/>
      <c r="C265" s="56"/>
      <c r="D265" s="57"/>
      <c r="E265" s="57"/>
      <c r="F265" s="57"/>
      <c r="I265" s="48"/>
      <c r="R265" s="48"/>
      <c r="S265" s="48"/>
      <c r="T265" s="53"/>
      <c r="V265" s="53"/>
      <c r="W265" s="53"/>
      <c r="X265" s="53"/>
      <c r="Y265" s="53"/>
    </row>
    <row r="266" spans="1:25" ht="12.75">
      <c r="A266" s="16"/>
      <c r="C266" s="56"/>
      <c r="D266" s="57"/>
      <c r="E266" s="57"/>
      <c r="F266" s="57"/>
      <c r="I266" s="48"/>
      <c r="R266" s="48"/>
      <c r="S266" s="48"/>
      <c r="T266" s="53"/>
      <c r="V266" s="53"/>
      <c r="W266" s="53"/>
      <c r="X266" s="53"/>
      <c r="Y266" s="53"/>
    </row>
    <row r="267" spans="1:25" ht="12.75">
      <c r="A267" s="16"/>
      <c r="C267" s="56"/>
      <c r="D267" s="57"/>
      <c r="E267" s="57"/>
      <c r="F267" s="57"/>
      <c r="I267" s="48"/>
      <c r="R267" s="48"/>
      <c r="S267" s="48"/>
      <c r="T267" s="53"/>
      <c r="V267" s="53"/>
      <c r="W267" s="53"/>
      <c r="X267" s="53"/>
      <c r="Y267" s="53"/>
    </row>
    <row r="268" spans="1:25" ht="12.75">
      <c r="A268" s="16"/>
      <c r="C268" s="56"/>
      <c r="D268" s="57"/>
      <c r="E268" s="57"/>
      <c r="F268" s="57"/>
      <c r="I268" s="48"/>
      <c r="R268" s="48"/>
      <c r="S268" s="48"/>
      <c r="T268" s="53"/>
      <c r="V268" s="53"/>
      <c r="W268" s="53"/>
      <c r="X268" s="53"/>
      <c r="Y268" s="53"/>
    </row>
    <row r="269" spans="1:25" ht="12.75">
      <c r="A269" s="16"/>
      <c r="C269" s="56"/>
      <c r="D269" s="57"/>
      <c r="E269" s="57"/>
      <c r="F269" s="57"/>
      <c r="I269" s="48"/>
      <c r="R269" s="48"/>
      <c r="S269" s="48"/>
      <c r="T269" s="53"/>
      <c r="V269" s="53"/>
      <c r="W269" s="53"/>
      <c r="X269" s="53"/>
      <c r="Y269" s="53"/>
    </row>
    <row r="270" spans="1:25" ht="12.75">
      <c r="A270" s="16"/>
      <c r="C270" s="56"/>
      <c r="D270" s="57"/>
      <c r="E270" s="57"/>
      <c r="F270" s="57"/>
      <c r="I270" s="48"/>
      <c r="R270" s="48"/>
      <c r="S270" s="48"/>
      <c r="T270" s="53"/>
      <c r="V270" s="53"/>
      <c r="W270" s="53"/>
      <c r="X270" s="53"/>
      <c r="Y270" s="53"/>
    </row>
    <row r="271" spans="1:25" ht="12.75">
      <c r="A271" s="16"/>
      <c r="C271" s="56"/>
      <c r="D271" s="57"/>
      <c r="E271" s="57"/>
      <c r="F271" s="57"/>
      <c r="I271" s="48"/>
      <c r="R271" s="48"/>
      <c r="S271" s="48"/>
      <c r="T271" s="53"/>
      <c r="V271" s="53"/>
      <c r="W271" s="53"/>
      <c r="X271" s="53"/>
      <c r="Y271" s="53"/>
    </row>
    <row r="272" spans="1:25" ht="12.75">
      <c r="A272" s="16"/>
      <c r="C272" s="56"/>
      <c r="D272" s="57"/>
      <c r="E272" s="57"/>
      <c r="F272" s="57"/>
      <c r="I272" s="48"/>
      <c r="R272" s="48"/>
      <c r="S272" s="48"/>
      <c r="T272" s="53"/>
      <c r="V272" s="53"/>
      <c r="W272" s="53"/>
      <c r="X272" s="53"/>
      <c r="Y272" s="53"/>
    </row>
    <row r="273" spans="1:25" ht="12.75">
      <c r="A273" s="16"/>
      <c r="C273" s="56"/>
      <c r="D273" s="57"/>
      <c r="E273" s="57"/>
      <c r="F273" s="57"/>
      <c r="I273" s="48"/>
      <c r="R273" s="48"/>
      <c r="S273" s="48"/>
      <c r="T273" s="53"/>
      <c r="V273" s="53"/>
      <c r="W273" s="53"/>
      <c r="X273" s="53"/>
      <c r="Y273" s="53"/>
    </row>
    <row r="274" spans="1:25" ht="12.75">
      <c r="A274" s="16"/>
      <c r="C274" s="56"/>
      <c r="D274" s="57"/>
      <c r="E274" s="57"/>
      <c r="F274" s="57"/>
      <c r="I274" s="48"/>
      <c r="R274" s="48"/>
      <c r="S274" s="48"/>
      <c r="T274" s="53"/>
      <c r="V274" s="53"/>
      <c r="W274" s="53"/>
      <c r="X274" s="53"/>
      <c r="Y274" s="53"/>
    </row>
    <row r="275" spans="1:25" ht="12.75">
      <c r="A275" s="16"/>
      <c r="C275" s="56"/>
      <c r="D275" s="57"/>
      <c r="E275" s="57"/>
      <c r="F275" s="57"/>
      <c r="I275" s="48"/>
      <c r="R275" s="48"/>
      <c r="S275" s="48"/>
      <c r="T275" s="53"/>
      <c r="V275" s="53"/>
      <c r="W275" s="53"/>
      <c r="X275" s="53"/>
      <c r="Y275" s="53"/>
    </row>
    <row r="276" spans="1:25" ht="12.75">
      <c r="A276" s="16"/>
      <c r="C276" s="56"/>
      <c r="D276" s="57"/>
      <c r="E276" s="57"/>
      <c r="F276" s="57"/>
      <c r="I276" s="48"/>
      <c r="R276" s="48"/>
      <c r="S276" s="48"/>
      <c r="T276" s="53"/>
      <c r="V276" s="53"/>
      <c r="W276" s="53"/>
      <c r="X276" s="53"/>
      <c r="Y276" s="53"/>
    </row>
    <row r="277" spans="1:25" ht="12.75">
      <c r="A277" s="16"/>
      <c r="C277" s="56"/>
      <c r="D277" s="57"/>
      <c r="E277" s="57"/>
      <c r="F277" s="57"/>
      <c r="I277" s="48"/>
      <c r="R277" s="48"/>
      <c r="S277" s="48"/>
      <c r="T277" s="53"/>
      <c r="V277" s="53"/>
      <c r="W277" s="53"/>
      <c r="X277" s="53"/>
      <c r="Y277" s="53"/>
    </row>
    <row r="278" spans="1:25" ht="12.75">
      <c r="A278" s="16"/>
      <c r="C278" s="56"/>
      <c r="D278" s="57"/>
      <c r="E278" s="57"/>
      <c r="F278" s="57"/>
      <c r="I278" s="48"/>
      <c r="R278" s="48"/>
      <c r="S278" s="48"/>
      <c r="T278" s="53"/>
      <c r="V278" s="53"/>
      <c r="W278" s="53"/>
      <c r="X278" s="53"/>
      <c r="Y278" s="53"/>
    </row>
    <row r="279" spans="1:25" ht="12.75">
      <c r="A279" s="16"/>
      <c r="C279" s="56"/>
      <c r="D279" s="57"/>
      <c r="E279" s="57"/>
      <c r="F279" s="57"/>
      <c r="I279" s="48"/>
      <c r="R279" s="48"/>
      <c r="S279" s="48"/>
      <c r="T279" s="53"/>
      <c r="V279" s="53"/>
      <c r="W279" s="53"/>
      <c r="X279" s="53"/>
      <c r="Y279" s="53"/>
    </row>
    <row r="280" spans="1:25" ht="12.75">
      <c r="A280" s="16"/>
      <c r="C280" s="56"/>
      <c r="D280" s="57"/>
      <c r="E280" s="57"/>
      <c r="F280" s="57"/>
      <c r="I280" s="48"/>
      <c r="R280" s="48"/>
      <c r="S280" s="48"/>
      <c r="T280" s="53"/>
      <c r="V280" s="53"/>
      <c r="W280" s="53"/>
      <c r="X280" s="53"/>
      <c r="Y280" s="53"/>
    </row>
    <row r="281" spans="1:25" ht="12.75">
      <c r="A281" s="16"/>
      <c r="C281" s="56"/>
      <c r="D281" s="57"/>
      <c r="E281" s="57"/>
      <c r="F281" s="57"/>
      <c r="I281" s="48"/>
      <c r="R281" s="48"/>
      <c r="S281" s="48"/>
      <c r="T281" s="53"/>
      <c r="V281" s="53"/>
      <c r="W281" s="53"/>
      <c r="X281" s="53"/>
      <c r="Y281" s="53"/>
    </row>
    <row r="282" spans="1:25" ht="12.75">
      <c r="A282" s="16"/>
      <c r="C282" s="56"/>
      <c r="D282" s="57"/>
      <c r="E282" s="57"/>
      <c r="F282" s="57"/>
      <c r="I282" s="48"/>
      <c r="R282" s="48"/>
      <c r="S282" s="48"/>
      <c r="T282" s="53"/>
      <c r="V282" s="53"/>
      <c r="W282" s="53"/>
      <c r="X282" s="53"/>
      <c r="Y282" s="53"/>
    </row>
    <row r="283" spans="1:25" ht="12.75">
      <c r="A283" s="16"/>
      <c r="C283" s="56"/>
      <c r="D283" s="57"/>
      <c r="E283" s="57"/>
      <c r="F283" s="57"/>
      <c r="I283" s="48"/>
      <c r="R283" s="48"/>
      <c r="S283" s="48"/>
      <c r="T283" s="53"/>
      <c r="V283" s="53"/>
      <c r="W283" s="53"/>
      <c r="X283" s="53"/>
      <c r="Y283" s="53"/>
    </row>
    <row r="284" spans="1:25" ht="12.75">
      <c r="A284" s="16"/>
      <c r="C284" s="56"/>
      <c r="D284" s="57"/>
      <c r="E284" s="57"/>
      <c r="F284" s="57"/>
      <c r="I284" s="48"/>
      <c r="R284" s="48"/>
      <c r="S284" s="48"/>
      <c r="T284" s="53"/>
      <c r="V284" s="53"/>
      <c r="W284" s="53"/>
      <c r="X284" s="53"/>
      <c r="Y284" s="53"/>
    </row>
    <row r="285" spans="1:25" ht="12.75">
      <c r="A285" s="16"/>
      <c r="C285" s="56"/>
      <c r="D285" s="57"/>
      <c r="E285" s="57"/>
      <c r="F285" s="57"/>
      <c r="I285" s="48"/>
      <c r="R285" s="48"/>
      <c r="S285" s="48"/>
      <c r="T285" s="53"/>
      <c r="V285" s="53"/>
      <c r="W285" s="53"/>
      <c r="X285" s="53"/>
      <c r="Y285" s="53"/>
    </row>
    <row r="286" spans="1:25" ht="12.75">
      <c r="A286" s="16"/>
      <c r="C286" s="56"/>
      <c r="D286" s="57"/>
      <c r="E286" s="57"/>
      <c r="F286" s="57"/>
      <c r="I286" s="48"/>
      <c r="R286" s="48"/>
      <c r="S286" s="48"/>
      <c r="T286" s="53"/>
      <c r="V286" s="53"/>
      <c r="W286" s="53"/>
      <c r="X286" s="53"/>
      <c r="Y286" s="53"/>
    </row>
    <row r="287" spans="1:25" ht="12.75">
      <c r="A287" s="16"/>
      <c r="C287" s="56"/>
      <c r="D287" s="57"/>
      <c r="E287" s="57"/>
      <c r="F287" s="57"/>
      <c r="I287" s="48"/>
      <c r="R287" s="48"/>
      <c r="S287" s="48"/>
      <c r="T287" s="53"/>
      <c r="V287" s="53"/>
      <c r="W287" s="53"/>
      <c r="X287" s="53"/>
      <c r="Y287" s="53"/>
    </row>
    <row r="288" spans="1:25" ht="12.75">
      <c r="A288" s="16"/>
      <c r="C288" s="56"/>
      <c r="D288" s="57"/>
      <c r="E288" s="57"/>
      <c r="F288" s="57"/>
      <c r="I288" s="48"/>
      <c r="R288" s="48"/>
      <c r="S288" s="48"/>
      <c r="T288" s="53"/>
      <c r="V288" s="53"/>
      <c r="W288" s="53"/>
      <c r="X288" s="53"/>
      <c r="Y288" s="53"/>
    </row>
    <row r="289" spans="1:25" ht="12.75">
      <c r="A289" s="16"/>
      <c r="C289" s="56"/>
      <c r="D289" s="57"/>
      <c r="E289" s="57"/>
      <c r="F289" s="57"/>
      <c r="I289" s="48"/>
      <c r="R289" s="48"/>
      <c r="S289" s="48"/>
      <c r="T289" s="53"/>
      <c r="V289" s="53"/>
      <c r="W289" s="53"/>
      <c r="X289" s="53"/>
      <c r="Y289" s="53"/>
    </row>
    <row r="290" spans="1:25" ht="12.75">
      <c r="A290" s="16"/>
      <c r="C290" s="56"/>
      <c r="D290" s="57"/>
      <c r="E290" s="57"/>
      <c r="F290" s="57"/>
      <c r="I290" s="48"/>
      <c r="R290" s="48"/>
      <c r="S290" s="48"/>
      <c r="T290" s="53"/>
      <c r="V290" s="53"/>
      <c r="W290" s="53"/>
      <c r="X290" s="53"/>
      <c r="Y290" s="53"/>
    </row>
    <row r="291" spans="1:25" ht="12.75">
      <c r="A291" s="16"/>
      <c r="C291" s="56"/>
      <c r="D291" s="57"/>
      <c r="E291" s="57"/>
      <c r="F291" s="57"/>
      <c r="I291" s="48"/>
      <c r="R291" s="48"/>
      <c r="S291" s="48"/>
      <c r="T291" s="53"/>
      <c r="V291" s="53"/>
      <c r="W291" s="53"/>
      <c r="X291" s="53"/>
      <c r="Y291" s="53"/>
    </row>
    <row r="292" spans="1:25" ht="12.75">
      <c r="A292" s="16"/>
      <c r="C292" s="56"/>
      <c r="D292" s="57"/>
      <c r="E292" s="57"/>
      <c r="F292" s="57"/>
      <c r="I292" s="48"/>
      <c r="R292" s="48"/>
      <c r="S292" s="48"/>
      <c r="T292" s="53"/>
      <c r="V292" s="53"/>
      <c r="W292" s="53"/>
      <c r="X292" s="53"/>
      <c r="Y292" s="53"/>
    </row>
    <row r="293" spans="1:25" ht="12.75">
      <c r="A293" s="16"/>
      <c r="C293" s="56"/>
      <c r="D293" s="57"/>
      <c r="E293" s="57"/>
      <c r="F293" s="57"/>
      <c r="I293" s="48"/>
      <c r="R293" s="48"/>
      <c r="S293" s="48"/>
      <c r="T293" s="53"/>
      <c r="V293" s="53"/>
      <c r="W293" s="53"/>
      <c r="X293" s="53"/>
      <c r="Y293" s="53"/>
    </row>
    <row r="294" spans="1:25" ht="12.75">
      <c r="A294" s="16"/>
      <c r="C294" s="56"/>
      <c r="D294" s="57"/>
      <c r="E294" s="57"/>
      <c r="F294" s="57"/>
      <c r="I294" s="48"/>
      <c r="R294" s="48"/>
      <c r="S294" s="48"/>
      <c r="T294" s="53"/>
      <c r="V294" s="53"/>
      <c r="W294" s="53"/>
      <c r="X294" s="53"/>
      <c r="Y294" s="53"/>
    </row>
    <row r="295" spans="1:25" ht="12.75">
      <c r="A295" s="16"/>
      <c r="C295" s="56"/>
      <c r="D295" s="57"/>
      <c r="E295" s="57"/>
      <c r="F295" s="57"/>
      <c r="I295" s="48"/>
      <c r="R295" s="48"/>
      <c r="S295" s="48"/>
      <c r="T295" s="53"/>
      <c r="V295" s="53"/>
      <c r="W295" s="53"/>
      <c r="X295" s="53"/>
      <c r="Y295" s="53"/>
    </row>
    <row r="296" spans="1:25" ht="12.75">
      <c r="A296" s="16"/>
      <c r="C296" s="56"/>
      <c r="D296" s="57"/>
      <c r="E296" s="57"/>
      <c r="F296" s="57"/>
      <c r="I296" s="48"/>
      <c r="R296" s="48"/>
      <c r="S296" s="48"/>
      <c r="T296" s="53"/>
      <c r="V296" s="53"/>
      <c r="W296" s="53"/>
      <c r="X296" s="53"/>
      <c r="Y296" s="53"/>
    </row>
    <row r="297" spans="1:25" ht="12.75">
      <c r="A297" s="16"/>
      <c r="C297" s="56"/>
      <c r="D297" s="57"/>
      <c r="E297" s="57"/>
      <c r="F297" s="57"/>
      <c r="I297" s="48"/>
      <c r="R297" s="48"/>
      <c r="S297" s="48"/>
      <c r="T297" s="53"/>
      <c r="V297" s="53"/>
      <c r="W297" s="53"/>
      <c r="X297" s="53"/>
      <c r="Y297" s="53"/>
    </row>
    <row r="298" spans="1:25" ht="12.75">
      <c r="A298" s="16"/>
      <c r="C298" s="56"/>
      <c r="D298" s="57"/>
      <c r="E298" s="57"/>
      <c r="F298" s="57"/>
      <c r="I298" s="48"/>
      <c r="R298" s="48"/>
      <c r="S298" s="48"/>
      <c r="T298" s="53"/>
      <c r="V298" s="53"/>
      <c r="W298" s="53"/>
      <c r="X298" s="53"/>
      <c r="Y298" s="53"/>
    </row>
    <row r="299" spans="1:25" ht="12.75">
      <c r="A299" s="16"/>
      <c r="C299" s="56"/>
      <c r="D299" s="57"/>
      <c r="E299" s="57"/>
      <c r="F299" s="57"/>
      <c r="I299" s="48"/>
      <c r="R299" s="48"/>
      <c r="S299" s="48"/>
      <c r="T299" s="53"/>
      <c r="V299" s="53"/>
      <c r="W299" s="53"/>
      <c r="X299" s="53"/>
      <c r="Y299" s="53"/>
    </row>
    <row r="300" spans="1:25" ht="12.75">
      <c r="A300" s="16"/>
      <c r="C300" s="56"/>
      <c r="D300" s="57"/>
      <c r="E300" s="57"/>
      <c r="F300" s="57"/>
      <c r="I300" s="48"/>
      <c r="R300" s="48"/>
      <c r="S300" s="48"/>
      <c r="T300" s="53"/>
      <c r="V300" s="53"/>
      <c r="W300" s="53"/>
      <c r="X300" s="53"/>
      <c r="Y300" s="53"/>
    </row>
    <row r="301" spans="1:25" ht="12.75">
      <c r="A301" s="16"/>
      <c r="C301" s="56"/>
      <c r="D301" s="57"/>
      <c r="E301" s="57"/>
      <c r="F301" s="57"/>
      <c r="I301" s="48"/>
      <c r="R301" s="48"/>
      <c r="S301" s="48"/>
      <c r="T301" s="53"/>
      <c r="V301" s="53"/>
      <c r="W301" s="53"/>
      <c r="X301" s="53"/>
      <c r="Y301" s="53"/>
    </row>
    <row r="302" spans="1:25" ht="12.75">
      <c r="A302" s="16"/>
      <c r="C302" s="56"/>
      <c r="D302" s="57"/>
      <c r="E302" s="57"/>
      <c r="F302" s="57"/>
      <c r="I302" s="48"/>
      <c r="R302" s="48"/>
      <c r="S302" s="48"/>
      <c r="T302" s="53"/>
      <c r="V302" s="53"/>
      <c r="W302" s="53"/>
      <c r="X302" s="53"/>
      <c r="Y302" s="53"/>
    </row>
    <row r="303" spans="1:25" ht="12.75">
      <c r="A303" s="16"/>
      <c r="C303" s="56"/>
      <c r="D303" s="57"/>
      <c r="E303" s="57"/>
      <c r="F303" s="57"/>
      <c r="I303" s="48"/>
      <c r="R303" s="48"/>
      <c r="S303" s="48"/>
      <c r="T303" s="53"/>
      <c r="V303" s="53"/>
      <c r="W303" s="53"/>
      <c r="X303" s="53"/>
      <c r="Y303" s="53"/>
    </row>
    <row r="304" spans="1:25" ht="12.75">
      <c r="A304" s="16"/>
      <c r="C304" s="56"/>
      <c r="D304" s="57"/>
      <c r="E304" s="57"/>
      <c r="F304" s="57"/>
      <c r="I304" s="48"/>
      <c r="R304" s="48"/>
      <c r="S304" s="48"/>
      <c r="T304" s="53"/>
      <c r="V304" s="53"/>
      <c r="W304" s="53"/>
      <c r="X304" s="53"/>
      <c r="Y304" s="53"/>
    </row>
    <row r="305" spans="1:25" ht="12.75">
      <c r="A305" s="16"/>
      <c r="C305" s="56"/>
      <c r="D305" s="57"/>
      <c r="E305" s="57"/>
      <c r="F305" s="57"/>
      <c r="I305" s="48"/>
      <c r="R305" s="48"/>
      <c r="S305" s="48"/>
      <c r="T305" s="53"/>
      <c r="V305" s="53"/>
      <c r="W305" s="53"/>
      <c r="X305" s="53"/>
      <c r="Y305" s="53"/>
    </row>
    <row r="306" spans="1:25" ht="12.75">
      <c r="A306" s="16"/>
      <c r="C306" s="56"/>
      <c r="D306" s="57"/>
      <c r="E306" s="57"/>
      <c r="F306" s="57"/>
      <c r="I306" s="48"/>
      <c r="R306" s="48"/>
      <c r="S306" s="48"/>
      <c r="T306" s="53"/>
      <c r="V306" s="53"/>
      <c r="W306" s="53"/>
      <c r="X306" s="53"/>
      <c r="Y306" s="53"/>
    </row>
    <row r="307" spans="1:25" ht="12.75">
      <c r="A307" s="16"/>
      <c r="C307" s="56"/>
      <c r="D307" s="57"/>
      <c r="E307" s="57"/>
      <c r="F307" s="57"/>
      <c r="I307" s="48"/>
      <c r="R307" s="48"/>
      <c r="S307" s="48"/>
      <c r="T307" s="53"/>
      <c r="V307" s="53"/>
      <c r="W307" s="53"/>
      <c r="X307" s="53"/>
      <c r="Y307" s="53"/>
    </row>
    <row r="308" spans="1:25" ht="12.75">
      <c r="A308" s="16"/>
      <c r="C308" s="56"/>
      <c r="D308" s="57"/>
      <c r="E308" s="57"/>
      <c r="F308" s="57"/>
      <c r="I308" s="48"/>
      <c r="R308" s="48"/>
      <c r="S308" s="48"/>
      <c r="T308" s="53"/>
      <c r="V308" s="53"/>
      <c r="W308" s="53"/>
      <c r="X308" s="53"/>
      <c r="Y308" s="53"/>
    </row>
    <row r="309" spans="1:25" ht="12.75">
      <c r="A309" s="16"/>
      <c r="C309" s="56"/>
      <c r="D309" s="57"/>
      <c r="E309" s="57"/>
      <c r="F309" s="57"/>
      <c r="I309" s="48"/>
      <c r="R309" s="48"/>
      <c r="S309" s="48"/>
      <c r="T309" s="53"/>
      <c r="V309" s="53"/>
      <c r="W309" s="53"/>
      <c r="X309" s="53"/>
      <c r="Y309" s="53"/>
    </row>
    <row r="310" spans="1:25" ht="12.75">
      <c r="A310" s="16"/>
      <c r="C310" s="56"/>
      <c r="D310" s="57"/>
      <c r="E310" s="57"/>
      <c r="F310" s="57"/>
      <c r="I310" s="48"/>
      <c r="R310" s="48"/>
      <c r="S310" s="48"/>
      <c r="T310" s="53"/>
      <c r="V310" s="53"/>
      <c r="W310" s="53"/>
      <c r="X310" s="53"/>
      <c r="Y310" s="53"/>
    </row>
    <row r="311" spans="1:25" ht="12.75">
      <c r="A311" s="16"/>
      <c r="C311" s="56"/>
      <c r="D311" s="57"/>
      <c r="E311" s="57"/>
      <c r="F311" s="57"/>
      <c r="I311" s="48"/>
      <c r="R311" s="48"/>
      <c r="S311" s="48"/>
      <c r="T311" s="53"/>
      <c r="V311" s="53"/>
      <c r="W311" s="53"/>
      <c r="X311" s="53"/>
      <c r="Y311" s="53"/>
    </row>
    <row r="312" spans="1:25" ht="12.75">
      <c r="A312" s="16"/>
      <c r="C312" s="56"/>
      <c r="D312" s="57"/>
      <c r="E312" s="57"/>
      <c r="F312" s="57"/>
      <c r="I312" s="48"/>
      <c r="R312" s="48"/>
      <c r="S312" s="48"/>
      <c r="T312" s="53"/>
      <c r="V312" s="53"/>
      <c r="W312" s="53"/>
      <c r="X312" s="53"/>
      <c r="Y312" s="53"/>
    </row>
    <row r="313" spans="1:25" ht="12.75">
      <c r="A313" s="16"/>
      <c r="C313" s="56"/>
      <c r="D313" s="57"/>
      <c r="E313" s="57"/>
      <c r="F313" s="57"/>
      <c r="I313" s="48"/>
      <c r="R313" s="48"/>
      <c r="S313" s="48"/>
      <c r="T313" s="53"/>
      <c r="V313" s="53"/>
      <c r="W313" s="53"/>
      <c r="X313" s="53"/>
      <c r="Y313" s="53"/>
    </row>
    <row r="314" spans="1:25" ht="12.75">
      <c r="A314" s="16"/>
      <c r="C314" s="56"/>
      <c r="D314" s="57"/>
      <c r="E314" s="57"/>
      <c r="F314" s="57"/>
      <c r="I314" s="48"/>
      <c r="R314" s="48"/>
      <c r="S314" s="48"/>
      <c r="T314" s="53"/>
      <c r="V314" s="53"/>
      <c r="W314" s="53"/>
      <c r="X314" s="53"/>
      <c r="Y314" s="53"/>
    </row>
    <row r="315" spans="1:25" ht="12.75">
      <c r="A315" s="16"/>
      <c r="C315" s="56"/>
      <c r="D315" s="57"/>
      <c r="E315" s="57"/>
      <c r="F315" s="57"/>
      <c r="I315" s="48"/>
      <c r="R315" s="48"/>
      <c r="S315" s="48"/>
      <c r="T315" s="53"/>
      <c r="V315" s="53"/>
      <c r="W315" s="53"/>
      <c r="X315" s="53"/>
      <c r="Y315" s="53"/>
    </row>
    <row r="316" spans="1:25" ht="12.75">
      <c r="A316" s="16"/>
      <c r="C316" s="56"/>
      <c r="D316" s="57"/>
      <c r="E316" s="57"/>
      <c r="F316" s="57"/>
      <c r="I316" s="48"/>
      <c r="R316" s="48"/>
      <c r="S316" s="48"/>
      <c r="T316" s="53"/>
      <c r="V316" s="53"/>
      <c r="W316" s="53"/>
      <c r="X316" s="53"/>
      <c r="Y316" s="53"/>
    </row>
    <row r="317" spans="1:25" ht="12.75">
      <c r="A317" s="16"/>
      <c r="C317" s="56"/>
      <c r="D317" s="57"/>
      <c r="E317" s="57"/>
      <c r="F317" s="57"/>
      <c r="I317" s="48"/>
      <c r="R317" s="48"/>
      <c r="S317" s="48"/>
      <c r="T317" s="53"/>
      <c r="V317" s="53"/>
      <c r="W317" s="53"/>
      <c r="X317" s="53"/>
      <c r="Y317" s="53"/>
    </row>
    <row r="318" spans="1:25" ht="12.75">
      <c r="A318" s="16"/>
      <c r="C318" s="56"/>
      <c r="D318" s="57"/>
      <c r="E318" s="57"/>
      <c r="F318" s="57"/>
      <c r="I318" s="48"/>
      <c r="R318" s="48"/>
      <c r="S318" s="48"/>
      <c r="T318" s="53"/>
      <c r="V318" s="53"/>
      <c r="W318" s="53"/>
      <c r="X318" s="53"/>
      <c r="Y318" s="53"/>
    </row>
    <row r="319" spans="1:25" ht="12.75">
      <c r="A319" s="16"/>
      <c r="C319" s="56"/>
      <c r="D319" s="57"/>
      <c r="E319" s="57"/>
      <c r="F319" s="57"/>
      <c r="I319" s="48"/>
      <c r="R319" s="48"/>
      <c r="S319" s="48"/>
      <c r="T319" s="53"/>
      <c r="V319" s="53"/>
      <c r="W319" s="53"/>
      <c r="X319" s="53"/>
      <c r="Y319" s="53"/>
    </row>
    <row r="320" spans="1:25" ht="12.75">
      <c r="A320" s="16"/>
      <c r="C320" s="56"/>
      <c r="D320" s="57"/>
      <c r="E320" s="57"/>
      <c r="F320" s="57"/>
      <c r="I320" s="48"/>
      <c r="R320" s="48"/>
      <c r="S320" s="48"/>
      <c r="T320" s="53"/>
      <c r="V320" s="53"/>
      <c r="W320" s="53"/>
      <c r="X320" s="53"/>
      <c r="Y320" s="53"/>
    </row>
    <row r="321" spans="1:25" ht="12.75">
      <c r="A321" s="16"/>
      <c r="C321" s="56"/>
      <c r="D321" s="57"/>
      <c r="E321" s="57"/>
      <c r="F321" s="57"/>
      <c r="I321" s="48"/>
      <c r="R321" s="48"/>
      <c r="S321" s="48"/>
      <c r="T321" s="53"/>
      <c r="V321" s="53"/>
      <c r="W321" s="53"/>
      <c r="X321" s="53"/>
      <c r="Y321" s="53"/>
    </row>
    <row r="322" spans="1:25" ht="12.75">
      <c r="A322" s="16"/>
      <c r="C322" s="56"/>
      <c r="D322" s="57"/>
      <c r="E322" s="57"/>
      <c r="F322" s="57"/>
      <c r="I322" s="48"/>
      <c r="R322" s="48"/>
      <c r="S322" s="48"/>
      <c r="T322" s="53"/>
      <c r="V322" s="53"/>
      <c r="W322" s="53"/>
      <c r="X322" s="53"/>
      <c r="Y322" s="53"/>
    </row>
    <row r="323" spans="1:25" ht="12.75">
      <c r="A323" s="16"/>
      <c r="C323" s="56"/>
      <c r="D323" s="57"/>
      <c r="E323" s="57"/>
      <c r="F323" s="57"/>
      <c r="I323" s="48"/>
      <c r="R323" s="48"/>
      <c r="S323" s="48"/>
      <c r="T323" s="53"/>
      <c r="V323" s="53"/>
      <c r="W323" s="53"/>
      <c r="X323" s="53"/>
      <c r="Y323" s="53"/>
    </row>
    <row r="324" spans="1:25" ht="12.75">
      <c r="A324" s="16"/>
      <c r="C324" s="56"/>
      <c r="D324" s="57"/>
      <c r="E324" s="57"/>
      <c r="F324" s="57"/>
      <c r="I324" s="48"/>
      <c r="R324" s="48"/>
      <c r="S324" s="48"/>
      <c r="T324" s="53"/>
      <c r="V324" s="53"/>
      <c r="W324" s="53"/>
      <c r="X324" s="53"/>
      <c r="Y324" s="53"/>
    </row>
    <row r="325" spans="1:25" ht="12.75">
      <c r="A325" s="16"/>
      <c r="C325" s="56"/>
      <c r="D325" s="57"/>
      <c r="E325" s="57"/>
      <c r="F325" s="57"/>
      <c r="I325" s="48"/>
      <c r="R325" s="48"/>
      <c r="S325" s="48"/>
      <c r="T325" s="53"/>
      <c r="V325" s="53"/>
      <c r="W325" s="53"/>
      <c r="X325" s="53"/>
      <c r="Y325" s="53"/>
    </row>
    <row r="326" spans="1:25" ht="12.75">
      <c r="A326" s="16"/>
      <c r="C326" s="56"/>
      <c r="D326" s="57"/>
      <c r="E326" s="57"/>
      <c r="F326" s="57"/>
      <c r="I326" s="48"/>
      <c r="R326" s="48"/>
      <c r="S326" s="48"/>
      <c r="T326" s="53"/>
      <c r="V326" s="53"/>
      <c r="W326" s="53"/>
      <c r="X326" s="53"/>
      <c r="Y326" s="53"/>
    </row>
    <row r="327" spans="1:25" ht="12.75">
      <c r="A327" s="16"/>
      <c r="C327" s="56"/>
      <c r="D327" s="57"/>
      <c r="E327" s="57"/>
      <c r="F327" s="57"/>
      <c r="I327" s="48"/>
      <c r="R327" s="48"/>
      <c r="S327" s="48"/>
      <c r="T327" s="53"/>
      <c r="V327" s="53"/>
      <c r="W327" s="53"/>
      <c r="X327" s="53"/>
      <c r="Y327" s="53"/>
    </row>
    <row r="328" spans="1:25" ht="12.75">
      <c r="A328" s="16"/>
      <c r="R328" s="48"/>
      <c r="S328" s="48"/>
      <c r="T328" s="53"/>
      <c r="V328" s="53"/>
      <c r="W328" s="53"/>
      <c r="X328" s="53"/>
      <c r="Y328" s="53"/>
    </row>
    <row r="329" spans="1:25" ht="12.75">
      <c r="A329" s="16"/>
      <c r="R329" s="48"/>
      <c r="S329" s="48"/>
      <c r="T329" s="53"/>
      <c r="V329" s="53"/>
      <c r="W329" s="53"/>
      <c r="X329" s="53"/>
      <c r="Y329" s="53"/>
    </row>
    <row r="330" spans="1:25" ht="12.75">
      <c r="A330" s="16"/>
      <c r="R330" s="48"/>
      <c r="S330" s="48"/>
      <c r="T330" s="53"/>
      <c r="V330" s="53"/>
      <c r="W330" s="53"/>
      <c r="X330" s="53"/>
      <c r="Y330" s="53"/>
    </row>
    <row r="331" spans="1:25" ht="12.75">
      <c r="A331" s="16"/>
      <c r="R331" s="48"/>
      <c r="S331" s="48"/>
      <c r="T331" s="53"/>
      <c r="V331" s="53"/>
      <c r="W331" s="53"/>
      <c r="X331" s="53"/>
      <c r="Y331" s="53"/>
    </row>
    <row r="332" spans="1:25" ht="12.75">
      <c r="A332" s="16"/>
      <c r="C332" s="56"/>
      <c r="D332" s="57"/>
      <c r="E332" s="57"/>
      <c r="F332" s="57"/>
      <c r="G332" s="48"/>
      <c r="H332" s="48"/>
      <c r="I332" s="48"/>
      <c r="J332" s="48"/>
      <c r="K332" s="48"/>
      <c r="L332" s="48"/>
      <c r="M332" s="48"/>
      <c r="N332" s="48"/>
      <c r="O332" s="48"/>
      <c r="P332" s="48"/>
      <c r="Q332" s="48"/>
      <c r="R332" s="48"/>
      <c r="S332" s="48"/>
      <c r="T332" s="53"/>
      <c r="V332" s="53"/>
      <c r="W332" s="53"/>
      <c r="X332" s="53"/>
      <c r="Y332" s="53"/>
    </row>
    <row r="333" spans="1:25" ht="12.75">
      <c r="A333" s="16"/>
      <c r="C333" s="56"/>
      <c r="D333" s="57"/>
      <c r="E333" s="57"/>
      <c r="F333" s="57"/>
      <c r="G333" s="48"/>
      <c r="H333" s="48"/>
      <c r="I333" s="48"/>
      <c r="J333" s="48"/>
      <c r="K333" s="48"/>
      <c r="L333" s="48"/>
      <c r="M333" s="48"/>
      <c r="N333" s="48"/>
      <c r="O333" s="48"/>
      <c r="P333" s="48"/>
      <c r="Q333" s="48"/>
      <c r="R333" s="48"/>
      <c r="S333" s="48"/>
      <c r="T333" s="53"/>
      <c r="V333" s="53"/>
      <c r="W333" s="53"/>
      <c r="X333" s="53"/>
      <c r="Y333" s="53"/>
    </row>
    <row r="334" spans="1:25" ht="12.75">
      <c r="A334" s="16"/>
      <c r="C334" s="56"/>
      <c r="D334" s="57"/>
      <c r="E334" s="57"/>
      <c r="F334" s="57"/>
      <c r="G334" s="48"/>
      <c r="H334" s="48"/>
      <c r="I334" s="48"/>
      <c r="J334" s="48"/>
      <c r="K334" s="48"/>
      <c r="L334" s="48"/>
      <c r="M334" s="48"/>
      <c r="N334" s="48"/>
      <c r="O334" s="48"/>
      <c r="P334" s="48"/>
      <c r="Q334" s="48"/>
      <c r="R334" s="48"/>
      <c r="S334" s="48"/>
      <c r="T334" s="53"/>
      <c r="V334" s="53"/>
      <c r="W334" s="53"/>
      <c r="X334" s="53"/>
      <c r="Y334" s="53"/>
    </row>
    <row r="335" spans="1:25" ht="12.75">
      <c r="A335" s="16"/>
      <c r="C335" s="56"/>
      <c r="D335" s="57"/>
      <c r="E335" s="57"/>
      <c r="F335" s="57"/>
      <c r="G335" s="48"/>
      <c r="H335" s="48"/>
      <c r="I335" s="48"/>
      <c r="J335" s="48"/>
      <c r="K335" s="48"/>
      <c r="L335" s="48"/>
      <c r="M335" s="48"/>
      <c r="N335" s="48"/>
      <c r="O335" s="48"/>
      <c r="P335" s="48"/>
      <c r="Q335" s="48"/>
      <c r="R335" s="48"/>
      <c r="S335" s="48"/>
      <c r="T335" s="53"/>
      <c r="V335" s="53"/>
      <c r="W335" s="53"/>
      <c r="X335" s="53"/>
      <c r="Y335" s="53"/>
    </row>
    <row r="336" spans="1:25" ht="12.75">
      <c r="A336" s="16"/>
      <c r="C336" s="56"/>
      <c r="D336" s="57"/>
      <c r="E336" s="57"/>
      <c r="F336" s="57"/>
      <c r="G336" s="48"/>
      <c r="H336" s="48"/>
      <c r="I336" s="48"/>
      <c r="J336" s="48"/>
      <c r="K336" s="48"/>
      <c r="L336" s="48"/>
      <c r="M336" s="48"/>
      <c r="N336" s="48"/>
      <c r="O336" s="48"/>
      <c r="P336" s="48"/>
      <c r="Q336" s="48"/>
      <c r="R336" s="48"/>
      <c r="S336" s="48"/>
      <c r="T336" s="53"/>
      <c r="V336" s="53"/>
      <c r="W336" s="53"/>
      <c r="X336" s="53"/>
      <c r="Y336" s="53"/>
    </row>
    <row r="337" spans="1:25" ht="12.75">
      <c r="A337" s="16"/>
      <c r="C337" s="56"/>
      <c r="D337" s="57"/>
      <c r="E337" s="57"/>
      <c r="F337" s="57"/>
      <c r="G337" s="48"/>
      <c r="H337" s="48"/>
      <c r="I337" s="48"/>
      <c r="J337" s="48"/>
      <c r="K337" s="48"/>
      <c r="L337" s="48"/>
      <c r="M337" s="48"/>
      <c r="N337" s="48"/>
      <c r="O337" s="48"/>
      <c r="P337" s="48"/>
      <c r="Q337" s="48"/>
      <c r="R337" s="48"/>
      <c r="S337" s="48"/>
      <c r="T337" s="53"/>
      <c r="V337" s="53"/>
      <c r="W337" s="53"/>
      <c r="X337" s="53"/>
      <c r="Y337" s="53"/>
    </row>
    <row r="338" spans="1:25" ht="12.75">
      <c r="A338" s="16"/>
      <c r="C338" s="56"/>
      <c r="D338" s="57"/>
      <c r="E338" s="57"/>
      <c r="F338" s="57"/>
      <c r="G338" s="48"/>
      <c r="H338" s="48"/>
      <c r="I338" s="48"/>
      <c r="J338" s="48"/>
      <c r="K338" s="48"/>
      <c r="L338" s="48"/>
      <c r="M338" s="48"/>
      <c r="N338" s="48"/>
      <c r="O338" s="48"/>
      <c r="P338" s="48"/>
      <c r="Q338" s="48"/>
      <c r="R338" s="48"/>
      <c r="S338" s="48"/>
      <c r="T338" s="53"/>
      <c r="V338" s="53"/>
      <c r="W338" s="53"/>
      <c r="X338" s="53"/>
      <c r="Y338" s="53"/>
    </row>
    <row r="339" spans="1:25" ht="12.75">
      <c r="A339" s="16"/>
      <c r="C339" s="56"/>
      <c r="D339" s="57"/>
      <c r="E339" s="57"/>
      <c r="F339" s="57"/>
      <c r="G339" s="48"/>
      <c r="H339" s="48"/>
      <c r="I339" s="48"/>
      <c r="J339" s="48"/>
      <c r="K339" s="48"/>
      <c r="L339" s="48"/>
      <c r="M339" s="48"/>
      <c r="N339" s="48"/>
      <c r="O339" s="48"/>
      <c r="P339" s="48"/>
      <c r="Q339" s="48"/>
      <c r="R339" s="48"/>
      <c r="S339" s="48"/>
      <c r="T339" s="53"/>
      <c r="V339" s="53"/>
      <c r="W339" s="53"/>
      <c r="X339" s="53"/>
      <c r="Y339" s="53"/>
    </row>
    <row r="340" spans="1:25" ht="12.75">
      <c r="A340" s="16"/>
      <c r="C340" s="56"/>
      <c r="D340" s="57"/>
      <c r="E340" s="57"/>
      <c r="F340" s="57"/>
      <c r="G340" s="48"/>
      <c r="H340" s="48"/>
      <c r="I340" s="48"/>
      <c r="J340" s="48"/>
      <c r="K340" s="48"/>
      <c r="L340" s="48"/>
      <c r="M340" s="48"/>
      <c r="N340" s="48"/>
      <c r="O340" s="48"/>
      <c r="P340" s="48"/>
      <c r="Q340" s="48"/>
      <c r="R340" s="48"/>
      <c r="S340" s="48"/>
      <c r="T340" s="53"/>
      <c r="V340" s="53"/>
      <c r="W340" s="53"/>
      <c r="X340" s="53"/>
      <c r="Y340" s="53"/>
    </row>
    <row r="341" spans="1:25" ht="12.75">
      <c r="A341" s="16"/>
      <c r="C341" s="56"/>
      <c r="D341" s="57"/>
      <c r="E341" s="57"/>
      <c r="F341" s="57"/>
      <c r="G341" s="48"/>
      <c r="H341" s="48"/>
      <c r="I341" s="48"/>
      <c r="J341" s="48"/>
      <c r="K341" s="48"/>
      <c r="L341" s="48"/>
      <c r="M341" s="48"/>
      <c r="N341" s="48"/>
      <c r="O341" s="48"/>
      <c r="P341" s="48"/>
      <c r="Q341" s="48"/>
      <c r="R341" s="48"/>
      <c r="S341" s="48"/>
      <c r="T341" s="53"/>
      <c r="V341" s="53"/>
      <c r="W341" s="53"/>
      <c r="X341" s="53"/>
      <c r="Y341" s="53"/>
    </row>
    <row r="342" spans="1:25" ht="12.75">
      <c r="A342" s="16"/>
      <c r="C342" s="56"/>
      <c r="D342" s="57"/>
      <c r="E342" s="57"/>
      <c r="F342" s="57"/>
      <c r="G342" s="48"/>
      <c r="H342" s="48"/>
      <c r="I342" s="48"/>
      <c r="J342" s="48"/>
      <c r="K342" s="48"/>
      <c r="L342" s="48"/>
      <c r="M342" s="48"/>
      <c r="N342" s="48"/>
      <c r="O342" s="48"/>
      <c r="P342" s="48"/>
      <c r="Q342" s="48"/>
      <c r="R342" s="48"/>
      <c r="S342" s="48"/>
      <c r="T342" s="53"/>
      <c r="V342" s="53"/>
      <c r="W342" s="53"/>
      <c r="X342" s="53"/>
      <c r="Y342" s="53"/>
    </row>
    <row r="343" spans="1:25" ht="12.75">
      <c r="A343" s="16"/>
      <c r="C343" s="56"/>
      <c r="D343" s="57"/>
      <c r="E343" s="57"/>
      <c r="F343" s="57"/>
      <c r="G343" s="48"/>
      <c r="H343" s="48"/>
      <c r="I343" s="48"/>
      <c r="J343" s="48"/>
      <c r="K343" s="48"/>
      <c r="L343" s="48"/>
      <c r="M343" s="48"/>
      <c r="N343" s="48"/>
      <c r="O343" s="48"/>
      <c r="P343" s="48"/>
      <c r="Q343" s="48"/>
      <c r="R343" s="48"/>
      <c r="S343" s="48"/>
      <c r="T343" s="53"/>
      <c r="V343" s="53"/>
      <c r="W343" s="53"/>
      <c r="X343" s="53"/>
      <c r="Y343" s="53"/>
    </row>
    <row r="344" spans="1:25" ht="12.75">
      <c r="A344" s="16"/>
      <c r="C344" s="56"/>
      <c r="D344" s="57"/>
      <c r="E344" s="57"/>
      <c r="F344" s="57"/>
      <c r="G344" s="48"/>
      <c r="H344" s="48"/>
      <c r="I344" s="48"/>
      <c r="J344" s="48"/>
      <c r="K344" s="48"/>
      <c r="L344" s="48"/>
      <c r="M344" s="48"/>
      <c r="N344" s="48"/>
      <c r="O344" s="48"/>
      <c r="P344" s="48"/>
      <c r="Q344" s="48"/>
      <c r="R344" s="48"/>
      <c r="S344" s="48"/>
      <c r="T344" s="53"/>
      <c r="V344" s="53"/>
      <c r="W344" s="53"/>
      <c r="X344" s="53"/>
      <c r="Y344" s="53"/>
    </row>
    <row r="345" spans="1:25" ht="12.75">
      <c r="A345" s="16"/>
      <c r="C345" s="56"/>
      <c r="D345" s="57"/>
      <c r="E345" s="57"/>
      <c r="F345" s="57"/>
      <c r="G345" s="48"/>
      <c r="H345" s="48"/>
      <c r="I345" s="48"/>
      <c r="J345" s="48"/>
      <c r="K345" s="48"/>
      <c r="L345" s="48"/>
      <c r="M345" s="48"/>
      <c r="N345" s="48"/>
      <c r="O345" s="48"/>
      <c r="P345" s="48"/>
      <c r="Q345" s="48"/>
      <c r="R345" s="48"/>
      <c r="S345" s="48"/>
      <c r="T345" s="53"/>
      <c r="V345" s="53"/>
      <c r="W345" s="53"/>
      <c r="X345" s="53"/>
      <c r="Y345" s="53"/>
    </row>
    <row r="346" spans="1:25" ht="12.75">
      <c r="A346" s="16"/>
      <c r="C346" s="56"/>
      <c r="D346" s="57"/>
      <c r="E346" s="57"/>
      <c r="F346" s="57"/>
      <c r="G346" s="48"/>
      <c r="H346" s="48"/>
      <c r="I346" s="48"/>
      <c r="J346" s="48"/>
      <c r="K346" s="48"/>
      <c r="L346" s="48"/>
      <c r="M346" s="48"/>
      <c r="N346" s="48"/>
      <c r="O346" s="48"/>
      <c r="P346" s="48"/>
      <c r="Q346" s="48"/>
      <c r="R346" s="48"/>
      <c r="S346" s="48"/>
      <c r="T346" s="53"/>
      <c r="V346" s="53"/>
      <c r="W346" s="53"/>
      <c r="X346" s="53"/>
      <c r="Y346" s="53"/>
    </row>
    <row r="347" spans="1:25" ht="12.75">
      <c r="A347" s="16"/>
      <c r="C347" s="56"/>
      <c r="D347" s="57"/>
      <c r="E347" s="57"/>
      <c r="F347" s="57"/>
      <c r="G347" s="48"/>
      <c r="H347" s="48"/>
      <c r="I347" s="48"/>
      <c r="J347" s="48"/>
      <c r="K347" s="48"/>
      <c r="L347" s="48"/>
      <c r="M347" s="48"/>
      <c r="N347" s="48"/>
      <c r="O347" s="48"/>
      <c r="P347" s="48"/>
      <c r="Q347" s="48"/>
      <c r="R347" s="48"/>
      <c r="S347" s="48"/>
      <c r="T347" s="53"/>
      <c r="V347" s="53"/>
      <c r="W347" s="53"/>
      <c r="X347" s="53"/>
      <c r="Y347" s="53"/>
    </row>
    <row r="348" spans="1:25" ht="12.75">
      <c r="A348" s="16"/>
      <c r="C348" s="56"/>
      <c r="D348" s="57"/>
      <c r="E348" s="57"/>
      <c r="F348" s="57"/>
      <c r="G348" s="48"/>
      <c r="H348" s="48"/>
      <c r="I348" s="48"/>
      <c r="J348" s="48"/>
      <c r="K348" s="48"/>
      <c r="L348" s="48"/>
      <c r="M348" s="48"/>
      <c r="N348" s="48"/>
      <c r="O348" s="48"/>
      <c r="P348" s="48"/>
      <c r="Q348" s="48"/>
      <c r="R348" s="48"/>
      <c r="S348" s="48"/>
      <c r="T348" s="53"/>
      <c r="V348" s="53"/>
      <c r="W348" s="53"/>
      <c r="X348" s="53"/>
      <c r="Y348" s="53"/>
    </row>
    <row r="349" spans="1:25" ht="12.75">
      <c r="A349" s="16"/>
      <c r="C349" s="56"/>
      <c r="D349" s="57"/>
      <c r="E349" s="57"/>
      <c r="F349" s="57"/>
      <c r="G349" s="48"/>
      <c r="H349" s="48"/>
      <c r="I349" s="48"/>
      <c r="J349" s="48"/>
      <c r="K349" s="48"/>
      <c r="L349" s="48"/>
      <c r="M349" s="48"/>
      <c r="N349" s="48"/>
      <c r="O349" s="48"/>
      <c r="P349" s="48"/>
      <c r="Q349" s="48"/>
      <c r="R349" s="48"/>
      <c r="S349" s="48"/>
      <c r="T349" s="53"/>
      <c r="V349" s="53"/>
      <c r="W349" s="53"/>
      <c r="X349" s="53"/>
      <c r="Y349" s="53"/>
    </row>
    <row r="350" spans="1:25" ht="12.75">
      <c r="A350" s="16"/>
      <c r="C350" s="56"/>
      <c r="D350" s="57"/>
      <c r="E350" s="57"/>
      <c r="F350" s="57"/>
      <c r="G350" s="48"/>
      <c r="H350" s="48"/>
      <c r="I350" s="48"/>
      <c r="J350" s="48"/>
      <c r="K350" s="48"/>
      <c r="L350" s="48"/>
      <c r="M350" s="48"/>
      <c r="N350" s="48"/>
      <c r="O350" s="48"/>
      <c r="P350" s="48"/>
      <c r="Q350" s="48"/>
      <c r="R350" s="48"/>
      <c r="S350" s="48"/>
      <c r="T350" s="53"/>
      <c r="V350" s="53"/>
      <c r="W350" s="53"/>
      <c r="X350" s="53"/>
      <c r="Y350" s="53"/>
    </row>
    <row r="351" spans="1:25" ht="12.75">
      <c r="A351" s="16"/>
      <c r="C351" s="56"/>
      <c r="D351" s="57"/>
      <c r="E351" s="57"/>
      <c r="F351" s="57"/>
      <c r="G351" s="48"/>
      <c r="H351" s="48"/>
      <c r="I351" s="48"/>
      <c r="J351" s="48"/>
      <c r="K351" s="48"/>
      <c r="L351" s="48"/>
      <c r="M351" s="48"/>
      <c r="N351" s="48"/>
      <c r="O351" s="48"/>
      <c r="P351" s="48"/>
      <c r="Q351" s="48"/>
      <c r="R351" s="48"/>
      <c r="S351" s="48"/>
      <c r="T351" s="53"/>
      <c r="V351" s="53"/>
      <c r="W351" s="53"/>
      <c r="X351" s="53"/>
      <c r="Y351" s="53"/>
    </row>
    <row r="352" spans="1:25" ht="12.75">
      <c r="A352" s="16"/>
      <c r="C352" s="56"/>
      <c r="D352" s="57"/>
      <c r="E352" s="57"/>
      <c r="F352" s="57"/>
      <c r="G352" s="48"/>
      <c r="H352" s="48"/>
      <c r="I352" s="48"/>
      <c r="J352" s="48"/>
      <c r="K352" s="48"/>
      <c r="L352" s="48"/>
      <c r="M352" s="48"/>
      <c r="N352" s="48"/>
      <c r="O352" s="48"/>
      <c r="P352" s="48"/>
      <c r="Q352" s="48"/>
      <c r="R352" s="48"/>
      <c r="S352" s="48"/>
      <c r="T352" s="53"/>
      <c r="V352" s="53"/>
      <c r="W352" s="53"/>
      <c r="X352" s="53"/>
      <c r="Y352" s="53"/>
    </row>
    <row r="353" spans="1:25" ht="12.75">
      <c r="A353" s="16"/>
      <c r="C353" s="56"/>
      <c r="D353" s="57"/>
      <c r="E353" s="57"/>
      <c r="F353" s="57"/>
      <c r="G353" s="48"/>
      <c r="H353" s="48"/>
      <c r="I353" s="48"/>
      <c r="J353" s="48"/>
      <c r="K353" s="48"/>
      <c r="L353" s="48"/>
      <c r="M353" s="48"/>
      <c r="N353" s="48"/>
      <c r="O353" s="48"/>
      <c r="P353" s="48"/>
      <c r="Q353" s="48"/>
      <c r="R353" s="48"/>
      <c r="S353" s="48"/>
      <c r="T353" s="53"/>
      <c r="V353" s="53"/>
      <c r="W353" s="53"/>
      <c r="X353" s="53"/>
      <c r="Y353" s="53"/>
    </row>
    <row r="354" spans="1:25" ht="12.75">
      <c r="A354" s="16"/>
      <c r="C354" s="56"/>
      <c r="D354" s="57"/>
      <c r="E354" s="57"/>
      <c r="F354" s="57"/>
      <c r="G354" s="48"/>
      <c r="H354" s="48"/>
      <c r="I354" s="48"/>
      <c r="J354" s="48"/>
      <c r="K354" s="48"/>
      <c r="L354" s="48"/>
      <c r="M354" s="48"/>
      <c r="N354" s="48"/>
      <c r="O354" s="48"/>
      <c r="P354" s="48"/>
      <c r="Q354" s="48"/>
      <c r="R354" s="48"/>
      <c r="S354" s="48"/>
      <c r="T354" s="53"/>
      <c r="V354" s="53"/>
      <c r="W354" s="53"/>
      <c r="X354" s="53"/>
      <c r="Y354" s="53"/>
    </row>
    <row r="355" spans="1:25" ht="12.75">
      <c r="A355" s="16"/>
      <c r="C355" s="56"/>
      <c r="D355" s="57"/>
      <c r="E355" s="57"/>
      <c r="F355" s="57"/>
      <c r="G355" s="48"/>
      <c r="H355" s="48"/>
      <c r="I355" s="48"/>
      <c r="J355" s="48"/>
      <c r="K355" s="48"/>
      <c r="L355" s="48"/>
      <c r="M355" s="48"/>
      <c r="N355" s="48"/>
      <c r="O355" s="48"/>
      <c r="P355" s="48"/>
      <c r="Q355" s="48"/>
      <c r="R355" s="48"/>
      <c r="S355" s="48"/>
      <c r="T355" s="53"/>
      <c r="V355" s="53"/>
      <c r="W355" s="53"/>
      <c r="X355" s="53"/>
      <c r="Y355" s="53"/>
    </row>
    <row r="356" spans="1:25" ht="12.75">
      <c r="A356" s="16"/>
      <c r="C356" s="56"/>
      <c r="D356" s="57"/>
      <c r="E356" s="57"/>
      <c r="F356" s="57"/>
      <c r="G356" s="48"/>
      <c r="H356" s="48"/>
      <c r="I356" s="48"/>
      <c r="J356" s="48"/>
      <c r="K356" s="48"/>
      <c r="L356" s="48"/>
      <c r="M356" s="48"/>
      <c r="N356" s="48"/>
      <c r="O356" s="48"/>
      <c r="P356" s="48"/>
      <c r="Q356" s="48"/>
      <c r="R356" s="48"/>
      <c r="S356" s="48"/>
      <c r="T356" s="53"/>
      <c r="V356" s="53"/>
      <c r="W356" s="53"/>
      <c r="X356" s="53"/>
      <c r="Y356" s="53"/>
    </row>
    <row r="357" spans="1:25" ht="12.75">
      <c r="A357" s="16"/>
      <c r="C357" s="56"/>
      <c r="D357" s="57"/>
      <c r="E357" s="57"/>
      <c r="F357" s="57"/>
      <c r="G357" s="48"/>
      <c r="H357" s="48"/>
      <c r="I357" s="48"/>
      <c r="J357" s="48"/>
      <c r="K357" s="48"/>
      <c r="L357" s="48"/>
      <c r="M357" s="48"/>
      <c r="N357" s="48"/>
      <c r="O357" s="48"/>
      <c r="P357" s="48"/>
      <c r="Q357" s="48"/>
      <c r="R357" s="48"/>
      <c r="S357" s="48"/>
      <c r="T357" s="53"/>
      <c r="V357" s="53"/>
      <c r="W357" s="53"/>
      <c r="X357" s="53"/>
      <c r="Y357" s="53"/>
    </row>
    <row r="358" spans="1:25" ht="12.75">
      <c r="A358" s="16"/>
      <c r="C358" s="56"/>
      <c r="D358" s="57"/>
      <c r="E358" s="57"/>
      <c r="F358" s="57"/>
      <c r="G358" s="48"/>
      <c r="H358" s="48"/>
      <c r="I358" s="48"/>
      <c r="J358" s="48"/>
      <c r="K358" s="48"/>
      <c r="L358" s="48"/>
      <c r="M358" s="48"/>
      <c r="N358" s="48"/>
      <c r="O358" s="48"/>
      <c r="P358" s="48"/>
      <c r="Q358" s="48"/>
      <c r="R358" s="48"/>
      <c r="S358" s="48"/>
      <c r="T358" s="53"/>
      <c r="V358" s="53"/>
      <c r="W358" s="53"/>
      <c r="X358" s="53"/>
      <c r="Y358" s="53"/>
    </row>
    <row r="359" spans="1:25" ht="12.75">
      <c r="A359" s="16"/>
      <c r="C359" s="56"/>
      <c r="D359" s="57"/>
      <c r="E359" s="57"/>
      <c r="F359" s="57"/>
      <c r="G359" s="48"/>
      <c r="H359" s="48"/>
      <c r="I359" s="48"/>
      <c r="J359" s="48"/>
      <c r="K359" s="48"/>
      <c r="L359" s="48"/>
      <c r="M359" s="48"/>
      <c r="N359" s="48"/>
      <c r="O359" s="48"/>
      <c r="P359" s="48"/>
      <c r="Q359" s="48"/>
      <c r="R359" s="48"/>
      <c r="S359" s="48"/>
      <c r="T359" s="53"/>
      <c r="V359" s="53"/>
      <c r="W359" s="53"/>
      <c r="X359" s="53"/>
      <c r="Y359" s="53"/>
    </row>
    <row r="360" spans="1:25" ht="12.75">
      <c r="A360" s="16"/>
      <c r="C360" s="56"/>
      <c r="D360" s="57"/>
      <c r="E360" s="57"/>
      <c r="F360" s="57"/>
      <c r="G360" s="48"/>
      <c r="H360" s="48"/>
      <c r="I360" s="48"/>
      <c r="J360" s="48"/>
      <c r="K360" s="48"/>
      <c r="L360" s="48"/>
      <c r="M360" s="48"/>
      <c r="N360" s="48"/>
      <c r="O360" s="48"/>
      <c r="P360" s="48"/>
      <c r="Q360" s="48"/>
      <c r="R360" s="48"/>
      <c r="S360" s="48"/>
      <c r="T360" s="53"/>
      <c r="V360" s="53"/>
      <c r="W360" s="53"/>
      <c r="X360" s="53"/>
      <c r="Y360" s="53"/>
    </row>
    <row r="361" spans="1:25" ht="12.75">
      <c r="A361" s="16"/>
      <c r="C361" s="56"/>
      <c r="D361" s="57"/>
      <c r="E361" s="57"/>
      <c r="F361" s="57"/>
      <c r="G361" s="48"/>
      <c r="H361" s="48"/>
      <c r="I361" s="48"/>
      <c r="J361" s="48"/>
      <c r="K361" s="48"/>
      <c r="L361" s="48"/>
      <c r="M361" s="48"/>
      <c r="N361" s="48"/>
      <c r="O361" s="48"/>
      <c r="P361" s="48"/>
      <c r="Q361" s="48"/>
      <c r="R361" s="48"/>
      <c r="S361" s="48"/>
      <c r="T361" s="53"/>
      <c r="V361" s="53"/>
      <c r="W361" s="53"/>
      <c r="X361" s="53"/>
      <c r="Y361" s="53"/>
    </row>
    <row r="362" spans="1:25" ht="12.75">
      <c r="A362" s="16"/>
      <c r="C362" s="56"/>
      <c r="D362" s="57"/>
      <c r="E362" s="57"/>
      <c r="F362" s="57"/>
      <c r="G362" s="48"/>
      <c r="H362" s="48"/>
      <c r="I362" s="48"/>
      <c r="J362" s="48"/>
      <c r="K362" s="48"/>
      <c r="L362" s="48"/>
      <c r="M362" s="48"/>
      <c r="N362" s="48"/>
      <c r="O362" s="48"/>
      <c r="P362" s="48"/>
      <c r="Q362" s="48"/>
      <c r="R362" s="48"/>
      <c r="S362" s="48"/>
      <c r="T362" s="53"/>
      <c r="V362" s="53"/>
      <c r="W362" s="53"/>
      <c r="X362" s="53"/>
      <c r="Y362" s="53"/>
    </row>
    <row r="363" spans="1:25" ht="12.75">
      <c r="A363" s="16"/>
      <c r="C363" s="56"/>
      <c r="D363" s="57"/>
      <c r="E363" s="57"/>
      <c r="F363" s="57"/>
      <c r="G363" s="48"/>
      <c r="H363" s="48"/>
      <c r="I363" s="48"/>
      <c r="J363" s="48"/>
      <c r="K363" s="48"/>
      <c r="L363" s="48"/>
      <c r="M363" s="48"/>
      <c r="N363" s="48"/>
      <c r="O363" s="48"/>
      <c r="P363" s="48"/>
      <c r="Q363" s="48"/>
      <c r="R363" s="48"/>
      <c r="S363" s="48"/>
      <c r="T363" s="53"/>
      <c r="V363" s="53"/>
      <c r="W363" s="53"/>
      <c r="X363" s="53"/>
      <c r="Y363" s="53"/>
    </row>
    <row r="364" spans="1:25" ht="12.75">
      <c r="A364" s="16"/>
      <c r="C364" s="56"/>
      <c r="D364" s="57"/>
      <c r="E364" s="57"/>
      <c r="F364" s="57"/>
      <c r="G364" s="48"/>
      <c r="H364" s="48"/>
      <c r="I364" s="48"/>
      <c r="J364" s="48"/>
      <c r="K364" s="48"/>
      <c r="L364" s="48"/>
      <c r="M364" s="48"/>
      <c r="N364" s="48"/>
      <c r="O364" s="48"/>
      <c r="P364" s="48"/>
      <c r="Q364" s="48"/>
      <c r="R364" s="48"/>
      <c r="S364" s="48"/>
      <c r="T364" s="53"/>
      <c r="V364" s="53"/>
      <c r="W364" s="53"/>
      <c r="X364" s="53"/>
      <c r="Y364" s="53"/>
    </row>
    <row r="365" spans="1:25" ht="12.75">
      <c r="A365" s="16"/>
      <c r="C365" s="56"/>
      <c r="D365" s="57"/>
      <c r="E365" s="57"/>
      <c r="F365" s="57"/>
      <c r="G365" s="48"/>
      <c r="H365" s="48"/>
      <c r="I365" s="48"/>
      <c r="J365" s="48"/>
      <c r="K365" s="48"/>
      <c r="L365" s="48"/>
      <c r="M365" s="48"/>
      <c r="N365" s="48"/>
      <c r="O365" s="48"/>
      <c r="P365" s="48"/>
      <c r="Q365" s="48"/>
      <c r="R365" s="48"/>
      <c r="S365" s="48"/>
      <c r="T365" s="53"/>
      <c r="V365" s="53"/>
      <c r="W365" s="53"/>
      <c r="X365" s="53"/>
      <c r="Y365" s="53"/>
    </row>
    <row r="366" spans="1:25" ht="12.75">
      <c r="A366" s="16"/>
      <c r="C366" s="56"/>
      <c r="D366" s="57"/>
      <c r="E366" s="57"/>
      <c r="F366" s="57"/>
      <c r="G366" s="48"/>
      <c r="H366" s="48"/>
      <c r="I366" s="48"/>
      <c r="J366" s="48"/>
      <c r="K366" s="48"/>
      <c r="L366" s="48"/>
      <c r="M366" s="48"/>
      <c r="N366" s="48"/>
      <c r="O366" s="48"/>
      <c r="P366" s="48"/>
      <c r="Q366" s="48"/>
      <c r="R366" s="48"/>
      <c r="S366" s="48"/>
      <c r="T366" s="53"/>
      <c r="V366" s="53"/>
      <c r="W366" s="53"/>
      <c r="X366" s="53"/>
      <c r="Y366" s="53"/>
    </row>
    <row r="367" spans="1:25" ht="12.75">
      <c r="A367" s="16"/>
      <c r="C367" s="56"/>
      <c r="D367" s="57"/>
      <c r="E367" s="57"/>
      <c r="F367" s="57"/>
      <c r="G367" s="48"/>
      <c r="H367" s="48"/>
      <c r="I367" s="48"/>
      <c r="J367" s="48"/>
      <c r="K367" s="48"/>
      <c r="L367" s="48"/>
      <c r="M367" s="48"/>
      <c r="N367" s="48"/>
      <c r="O367" s="48"/>
      <c r="P367" s="48"/>
      <c r="Q367" s="48"/>
      <c r="R367" s="48"/>
      <c r="S367" s="48"/>
      <c r="T367" s="53"/>
      <c r="V367" s="53"/>
      <c r="W367" s="53"/>
      <c r="X367" s="53"/>
      <c r="Y367" s="53"/>
    </row>
    <row r="368" spans="1:25" ht="12.75">
      <c r="A368" s="16"/>
      <c r="C368" s="56"/>
      <c r="D368" s="57"/>
      <c r="E368" s="57"/>
      <c r="F368" s="57"/>
      <c r="G368" s="48"/>
      <c r="H368" s="48"/>
      <c r="I368" s="48"/>
      <c r="J368" s="48"/>
      <c r="K368" s="48"/>
      <c r="L368" s="48"/>
      <c r="M368" s="48"/>
      <c r="N368" s="48"/>
      <c r="O368" s="48"/>
      <c r="P368" s="48"/>
      <c r="Q368" s="48"/>
      <c r="R368" s="48"/>
      <c r="S368" s="48"/>
      <c r="T368" s="53"/>
      <c r="V368" s="53"/>
      <c r="W368" s="53"/>
      <c r="X368" s="53"/>
      <c r="Y368" s="53"/>
    </row>
    <row r="369" spans="1:25" ht="12.75">
      <c r="A369" s="16"/>
      <c r="C369" s="56"/>
      <c r="D369" s="57"/>
      <c r="E369" s="57"/>
      <c r="F369" s="57"/>
      <c r="G369" s="48"/>
      <c r="H369" s="48"/>
      <c r="I369" s="48"/>
      <c r="J369" s="48"/>
      <c r="K369" s="48"/>
      <c r="L369" s="48"/>
      <c r="M369" s="48"/>
      <c r="N369" s="48"/>
      <c r="O369" s="48"/>
      <c r="P369" s="48"/>
      <c r="Q369" s="48"/>
      <c r="R369" s="48"/>
      <c r="S369" s="48"/>
      <c r="T369" s="53"/>
      <c r="V369" s="53"/>
      <c r="W369" s="53"/>
      <c r="X369" s="53"/>
      <c r="Y369" s="53"/>
    </row>
    <row r="370" spans="1:25" ht="12.75">
      <c r="A370" s="16"/>
      <c r="C370" s="56"/>
      <c r="D370" s="57"/>
      <c r="E370" s="57"/>
      <c r="F370" s="57"/>
      <c r="G370" s="48"/>
      <c r="H370" s="48"/>
      <c r="I370" s="48"/>
      <c r="J370" s="48"/>
      <c r="K370" s="48"/>
      <c r="L370" s="48"/>
      <c r="M370" s="48"/>
      <c r="N370" s="48"/>
      <c r="O370" s="48"/>
      <c r="P370" s="48"/>
      <c r="Q370" s="48"/>
      <c r="R370" s="48"/>
      <c r="S370" s="48"/>
      <c r="T370" s="53"/>
      <c r="V370" s="53"/>
      <c r="W370" s="53"/>
      <c r="X370" s="53"/>
      <c r="Y370" s="53"/>
    </row>
    <row r="371" spans="1:25" ht="12.75">
      <c r="A371" s="16"/>
      <c r="C371" s="56"/>
      <c r="D371" s="57"/>
      <c r="E371" s="57"/>
      <c r="F371" s="57"/>
      <c r="G371" s="48"/>
      <c r="H371" s="48"/>
      <c r="I371" s="48"/>
      <c r="J371" s="48"/>
      <c r="K371" s="48"/>
      <c r="L371" s="48"/>
      <c r="M371" s="48"/>
      <c r="N371" s="48"/>
      <c r="O371" s="48"/>
      <c r="P371" s="48"/>
      <c r="Q371" s="48"/>
      <c r="R371" s="48"/>
      <c r="S371" s="48"/>
      <c r="T371" s="53"/>
      <c r="V371" s="53"/>
      <c r="W371" s="53"/>
      <c r="X371" s="53"/>
      <c r="Y371" s="53"/>
    </row>
    <row r="372" spans="1:25" ht="12.75">
      <c r="A372" s="16"/>
      <c r="C372" s="56"/>
      <c r="D372" s="57"/>
      <c r="E372" s="57"/>
      <c r="F372" s="57"/>
      <c r="G372" s="48"/>
      <c r="H372" s="48"/>
      <c r="I372" s="48"/>
      <c r="J372" s="48"/>
      <c r="K372" s="48"/>
      <c r="L372" s="48"/>
      <c r="M372" s="48"/>
      <c r="N372" s="48"/>
      <c r="O372" s="48"/>
      <c r="P372" s="48"/>
      <c r="Q372" s="48"/>
      <c r="R372" s="48"/>
      <c r="S372" s="48"/>
      <c r="T372" s="53"/>
      <c r="V372" s="53"/>
      <c r="W372" s="53"/>
      <c r="X372" s="53"/>
      <c r="Y372" s="53"/>
    </row>
    <row r="373" spans="1:25" ht="12.75">
      <c r="A373" s="16"/>
      <c r="C373" s="56"/>
      <c r="D373" s="57"/>
      <c r="E373" s="57"/>
      <c r="F373" s="57"/>
      <c r="G373" s="48"/>
      <c r="H373" s="48"/>
      <c r="I373" s="48"/>
      <c r="J373" s="48"/>
      <c r="K373" s="48"/>
      <c r="L373" s="48"/>
      <c r="M373" s="48"/>
      <c r="N373" s="48"/>
      <c r="O373" s="48"/>
      <c r="P373" s="48"/>
      <c r="Q373" s="48"/>
      <c r="R373" s="48"/>
      <c r="S373" s="48"/>
      <c r="T373" s="53"/>
      <c r="V373" s="53"/>
      <c r="W373" s="53"/>
      <c r="X373" s="53"/>
      <c r="Y373" s="53"/>
    </row>
    <row r="374" spans="1:25" ht="12.75">
      <c r="A374" s="16"/>
      <c r="C374" s="56"/>
      <c r="D374" s="57"/>
      <c r="E374" s="57"/>
      <c r="F374" s="57"/>
      <c r="G374" s="48"/>
      <c r="H374" s="48"/>
      <c r="I374" s="48"/>
      <c r="J374" s="48"/>
      <c r="K374" s="48"/>
      <c r="L374" s="48"/>
      <c r="M374" s="48"/>
      <c r="N374" s="48"/>
      <c r="O374" s="48"/>
      <c r="P374" s="48"/>
      <c r="Q374" s="48"/>
      <c r="R374" s="48"/>
      <c r="S374" s="48"/>
      <c r="T374" s="53"/>
      <c r="V374" s="53"/>
      <c r="W374" s="53"/>
      <c r="X374" s="53"/>
      <c r="Y374" s="53"/>
    </row>
    <row r="375" spans="1:25" ht="12.75">
      <c r="A375" s="16"/>
      <c r="C375" s="56"/>
      <c r="D375" s="57"/>
      <c r="E375" s="57"/>
      <c r="F375" s="57"/>
      <c r="G375" s="48"/>
      <c r="H375" s="48"/>
      <c r="I375" s="48"/>
      <c r="J375" s="48"/>
      <c r="K375" s="48"/>
      <c r="L375" s="48"/>
      <c r="M375" s="48"/>
      <c r="N375" s="48"/>
      <c r="O375" s="48"/>
      <c r="P375" s="48"/>
      <c r="Q375" s="48"/>
      <c r="R375" s="48"/>
      <c r="S375" s="48"/>
      <c r="T375" s="53"/>
      <c r="V375" s="53"/>
      <c r="W375" s="53"/>
      <c r="X375" s="53"/>
      <c r="Y375" s="53"/>
    </row>
    <row r="376" spans="1:25" ht="12.75">
      <c r="A376" s="16"/>
      <c r="C376" s="56"/>
      <c r="D376" s="57"/>
      <c r="E376" s="57"/>
      <c r="F376" s="57"/>
      <c r="G376" s="48"/>
      <c r="H376" s="48"/>
      <c r="I376" s="48"/>
      <c r="J376" s="48"/>
      <c r="K376" s="48"/>
      <c r="L376" s="48"/>
      <c r="M376" s="48"/>
      <c r="N376" s="48"/>
      <c r="O376" s="48"/>
      <c r="P376" s="48"/>
      <c r="Q376" s="48"/>
      <c r="R376" s="48"/>
      <c r="S376" s="48"/>
      <c r="T376" s="53"/>
      <c r="V376" s="53"/>
      <c r="W376" s="53"/>
      <c r="X376" s="53"/>
      <c r="Y376" s="53"/>
    </row>
    <row r="377" spans="1:25" ht="12.75">
      <c r="A377" s="16"/>
      <c r="C377" s="56"/>
      <c r="D377" s="57"/>
      <c r="E377" s="57"/>
      <c r="F377" s="57"/>
      <c r="G377" s="48"/>
      <c r="H377" s="48"/>
      <c r="I377" s="48"/>
      <c r="J377" s="48"/>
      <c r="K377" s="48"/>
      <c r="L377" s="48"/>
      <c r="M377" s="48"/>
      <c r="N377" s="48"/>
      <c r="O377" s="48"/>
      <c r="P377" s="48"/>
      <c r="Q377" s="48"/>
      <c r="R377" s="48"/>
      <c r="S377" s="48"/>
      <c r="T377" s="53"/>
      <c r="V377" s="53"/>
      <c r="W377" s="53"/>
      <c r="X377" s="53"/>
      <c r="Y377" s="53"/>
    </row>
    <row r="378" spans="1:25" ht="12.75">
      <c r="A378" s="16"/>
      <c r="C378" s="56"/>
      <c r="D378" s="57"/>
      <c r="E378" s="57"/>
      <c r="F378" s="57"/>
      <c r="G378" s="48"/>
      <c r="H378" s="48"/>
      <c r="I378" s="48"/>
      <c r="J378" s="48"/>
      <c r="K378" s="48"/>
      <c r="L378" s="48"/>
      <c r="M378" s="48"/>
      <c r="N378" s="48"/>
      <c r="O378" s="48"/>
      <c r="P378" s="48"/>
      <c r="Q378" s="48"/>
      <c r="R378" s="48"/>
      <c r="S378" s="48"/>
      <c r="T378" s="53"/>
      <c r="V378" s="53"/>
      <c r="W378" s="53"/>
      <c r="X378" s="53"/>
      <c r="Y378" s="53"/>
    </row>
    <row r="379" spans="1:25" ht="12.75">
      <c r="A379" s="16"/>
      <c r="C379" s="56"/>
      <c r="D379" s="57"/>
      <c r="E379" s="57"/>
      <c r="F379" s="57"/>
      <c r="G379" s="48"/>
      <c r="H379" s="48"/>
      <c r="I379" s="48"/>
      <c r="J379" s="48"/>
      <c r="K379" s="48"/>
      <c r="L379" s="48"/>
      <c r="M379" s="48"/>
      <c r="N379" s="48"/>
      <c r="O379" s="48"/>
      <c r="P379" s="48"/>
      <c r="Q379" s="48"/>
      <c r="R379" s="48"/>
      <c r="S379" s="48"/>
      <c r="T379" s="53"/>
      <c r="V379" s="53"/>
      <c r="W379" s="53"/>
      <c r="X379" s="53"/>
      <c r="Y379" s="53"/>
    </row>
    <row r="380" spans="1:25" ht="12.75">
      <c r="A380" s="16"/>
      <c r="C380" s="56"/>
      <c r="D380" s="57"/>
      <c r="E380" s="57"/>
      <c r="F380" s="57"/>
      <c r="G380" s="48"/>
      <c r="H380" s="48"/>
      <c r="I380" s="48"/>
      <c r="J380" s="48"/>
      <c r="K380" s="48"/>
      <c r="L380" s="48"/>
      <c r="M380" s="48"/>
      <c r="N380" s="48"/>
      <c r="O380" s="48"/>
      <c r="P380" s="48"/>
      <c r="Q380" s="48"/>
      <c r="R380" s="48"/>
      <c r="S380" s="48"/>
      <c r="T380" s="53"/>
      <c r="V380" s="53"/>
      <c r="W380" s="53"/>
      <c r="X380" s="53"/>
      <c r="Y380" s="53"/>
    </row>
    <row r="381" spans="1:25" ht="12.75">
      <c r="A381" s="16"/>
      <c r="C381" s="56"/>
      <c r="D381" s="57"/>
      <c r="E381" s="57"/>
      <c r="F381" s="57"/>
      <c r="G381" s="48"/>
      <c r="H381" s="48"/>
      <c r="I381" s="48"/>
      <c r="J381" s="48"/>
      <c r="K381" s="48"/>
      <c r="L381" s="48"/>
      <c r="M381" s="48"/>
      <c r="N381" s="48"/>
      <c r="O381" s="48"/>
      <c r="P381" s="48"/>
      <c r="Q381" s="48"/>
      <c r="R381" s="48"/>
      <c r="S381" s="48"/>
      <c r="T381" s="53"/>
      <c r="V381" s="53"/>
      <c r="W381" s="53"/>
      <c r="X381" s="53"/>
      <c r="Y381" s="53"/>
    </row>
    <row r="382" spans="1:25" ht="12.75">
      <c r="A382" s="16"/>
      <c r="C382" s="56"/>
      <c r="D382" s="57"/>
      <c r="E382" s="57"/>
      <c r="F382" s="57"/>
      <c r="G382" s="48"/>
      <c r="H382" s="48"/>
      <c r="I382" s="48"/>
      <c r="J382" s="48"/>
      <c r="K382" s="48"/>
      <c r="L382" s="48"/>
      <c r="M382" s="48"/>
      <c r="N382" s="48"/>
      <c r="O382" s="48"/>
      <c r="P382" s="48"/>
      <c r="Q382" s="48"/>
      <c r="R382" s="48"/>
      <c r="S382" s="48"/>
      <c r="T382" s="53"/>
      <c r="V382" s="53"/>
      <c r="W382" s="53"/>
      <c r="X382" s="53"/>
      <c r="Y382" s="53"/>
    </row>
    <row r="383" spans="1:25" ht="12.75">
      <c r="A383" s="16"/>
      <c r="C383" s="56"/>
      <c r="D383" s="57"/>
      <c r="E383" s="57"/>
      <c r="F383" s="57"/>
      <c r="G383" s="48"/>
      <c r="H383" s="48"/>
      <c r="I383" s="48"/>
      <c r="J383" s="48"/>
      <c r="K383" s="48"/>
      <c r="L383" s="48"/>
      <c r="M383" s="48"/>
      <c r="N383" s="48"/>
      <c r="O383" s="48"/>
      <c r="P383" s="48"/>
      <c r="Q383" s="48"/>
      <c r="R383" s="48"/>
      <c r="S383" s="48"/>
      <c r="T383" s="53"/>
      <c r="V383" s="53"/>
      <c r="W383" s="53"/>
      <c r="X383" s="53"/>
      <c r="Y383" s="53"/>
    </row>
    <row r="384" spans="1:25" ht="12.75">
      <c r="A384" s="16"/>
      <c r="C384" s="56"/>
      <c r="D384" s="57"/>
      <c r="E384" s="57"/>
      <c r="F384" s="57"/>
      <c r="G384" s="48"/>
      <c r="H384" s="48"/>
      <c r="I384" s="48"/>
      <c r="J384" s="48"/>
      <c r="K384" s="48"/>
      <c r="L384" s="48"/>
      <c r="M384" s="48"/>
      <c r="N384" s="48"/>
      <c r="O384" s="48"/>
      <c r="P384" s="48"/>
      <c r="Q384" s="48"/>
      <c r="R384" s="48"/>
      <c r="S384" s="48"/>
      <c r="T384" s="53"/>
      <c r="V384" s="53"/>
      <c r="W384" s="53"/>
      <c r="X384" s="53"/>
      <c r="Y384" s="53"/>
    </row>
    <row r="385" spans="1:25" ht="12.75">
      <c r="A385" s="16"/>
      <c r="C385" s="56"/>
      <c r="D385" s="57"/>
      <c r="E385" s="57"/>
      <c r="F385" s="57"/>
      <c r="G385" s="48"/>
      <c r="H385" s="48"/>
      <c r="I385" s="48"/>
      <c r="J385" s="48"/>
      <c r="K385" s="48"/>
      <c r="L385" s="48"/>
      <c r="M385" s="48"/>
      <c r="N385" s="48"/>
      <c r="O385" s="48"/>
      <c r="P385" s="48"/>
      <c r="Q385" s="48"/>
      <c r="R385" s="48"/>
      <c r="S385" s="48"/>
      <c r="T385" s="53"/>
      <c r="V385" s="53"/>
      <c r="W385" s="53"/>
      <c r="X385" s="53"/>
      <c r="Y385" s="53"/>
    </row>
    <row r="386" spans="1:25" ht="12.75">
      <c r="A386" s="16"/>
      <c r="C386" s="56"/>
      <c r="D386" s="57"/>
      <c r="E386" s="57"/>
      <c r="F386" s="57"/>
      <c r="G386" s="48"/>
      <c r="H386" s="48"/>
      <c r="I386" s="48"/>
      <c r="J386" s="48"/>
      <c r="K386" s="48"/>
      <c r="L386" s="48"/>
      <c r="M386" s="48"/>
      <c r="N386" s="48"/>
      <c r="O386" s="48"/>
      <c r="P386" s="48"/>
      <c r="Q386" s="48"/>
      <c r="R386" s="48"/>
      <c r="S386" s="48"/>
      <c r="T386" s="53"/>
      <c r="V386" s="53"/>
      <c r="W386" s="53"/>
      <c r="X386" s="53"/>
      <c r="Y386" s="53"/>
    </row>
  </sheetData>
  <sheetProtection/>
  <mergeCells count="49">
    <mergeCell ref="A1:Z1"/>
    <mergeCell ref="A2:Z2"/>
    <mergeCell ref="A3:Z3"/>
    <mergeCell ref="A4:Z4"/>
    <mergeCell ref="A5:A11"/>
    <mergeCell ref="B5:B11"/>
    <mergeCell ref="C5:C11"/>
    <mergeCell ref="D5:D11"/>
    <mergeCell ref="E5:E11"/>
    <mergeCell ref="F5:H6"/>
    <mergeCell ref="I5:K6"/>
    <mergeCell ref="N5:P5"/>
    <mergeCell ref="T5:X5"/>
    <mergeCell ref="Z5:Z11"/>
    <mergeCell ref="AA5:AA11"/>
    <mergeCell ref="F7:F11"/>
    <mergeCell ref="G7:H7"/>
    <mergeCell ref="I7:I11"/>
    <mergeCell ref="J7:K7"/>
    <mergeCell ref="L8:L11"/>
    <mergeCell ref="AG5:AG9"/>
    <mergeCell ref="L6:M6"/>
    <mergeCell ref="N6:O6"/>
    <mergeCell ref="P6:P9"/>
    <mergeCell ref="T6:V6"/>
    <mergeCell ref="W6:X6"/>
    <mergeCell ref="W7:W9"/>
    <mergeCell ref="X7:X9"/>
    <mergeCell ref="AC5:AC9"/>
    <mergeCell ref="AD5:AD9"/>
    <mergeCell ref="AH7:AI7"/>
    <mergeCell ref="AJ7:AK7"/>
    <mergeCell ref="G8:G11"/>
    <mergeCell ref="H8:H11"/>
    <mergeCell ref="J8:J11"/>
    <mergeCell ref="K8:K11"/>
    <mergeCell ref="N8:N11"/>
    <mergeCell ref="O8:O11"/>
    <mergeCell ref="AE5:AE9"/>
    <mergeCell ref="AF5:AF9"/>
    <mergeCell ref="M8:M11"/>
    <mergeCell ref="L7:M7"/>
    <mergeCell ref="N7:O7"/>
    <mergeCell ref="X17:Z17"/>
    <mergeCell ref="B66:Z66"/>
    <mergeCell ref="U8:U11"/>
    <mergeCell ref="V8:V9"/>
    <mergeCell ref="T7:T11"/>
    <mergeCell ref="U7:V7"/>
  </mergeCells>
  <printOptions/>
  <pageMargins left="0.7" right="0.48" top="0.42" bottom="0.42" header="0.3" footer="0.2"/>
  <pageSetup horizontalDpi="600" verticalDpi="600" orientation="landscape" paperSize="9" scale="85"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HX364"/>
  <sheetViews>
    <sheetView view="pageBreakPreview" zoomScaleSheetLayoutView="100" zoomScalePageLayoutView="0" workbookViewId="0" topLeftCell="A15">
      <selection activeCell="G19" sqref="G19"/>
    </sheetView>
  </sheetViews>
  <sheetFormatPr defaultColWidth="9.140625" defaultRowHeight="12.75"/>
  <cols>
    <col min="1" max="1" width="5.140625" style="49" customWidth="1"/>
    <col min="2" max="2" width="20.140625" style="55" customWidth="1"/>
    <col min="3" max="3" width="10.421875" style="61" customWidth="1"/>
    <col min="4" max="4" width="5.421875" style="16" hidden="1" customWidth="1"/>
    <col min="5" max="5" width="7.57421875" style="16" hidden="1" customWidth="1"/>
    <col min="6" max="6" width="13.140625" style="16" customWidth="1"/>
    <col min="7" max="7" width="10.7109375" style="58" customWidth="1"/>
    <col min="8" max="8" width="8.7109375" style="58" customWidth="1"/>
    <col min="9" max="9" width="11.57421875" style="58" hidden="1" customWidth="1"/>
    <col min="10" max="10" width="11.140625" style="58" hidden="1" customWidth="1"/>
    <col min="11" max="11" width="11.421875" style="58" hidden="1" customWidth="1"/>
    <col min="12" max="13" width="11.7109375" style="58" hidden="1" customWidth="1"/>
    <col min="14" max="14" width="9.8515625" style="58" customWidth="1"/>
    <col min="15" max="15" width="8.28125" style="58" customWidth="1"/>
    <col min="16" max="16" width="8.57421875" style="41" customWidth="1"/>
    <col min="17" max="17" width="9.8515625" style="58" hidden="1" customWidth="1"/>
    <col min="18" max="18" width="10.7109375" style="58" hidden="1" customWidth="1"/>
    <col min="19" max="19" width="8.28125" style="58" hidden="1" customWidth="1"/>
    <col min="20" max="20" width="8.7109375" style="59" customWidth="1"/>
    <col min="21" max="21" width="7.421875" style="59" customWidth="1"/>
    <col min="22" max="22" width="9.7109375" style="59" customWidth="1"/>
    <col min="23" max="23" width="8.421875" style="59" customWidth="1"/>
    <col min="24" max="24" width="9.8515625" style="59" customWidth="1"/>
    <col min="25" max="25" width="16.140625" style="56" customWidth="1"/>
    <col min="26" max="26" width="11.140625" style="48" customWidth="1"/>
    <col min="27" max="31" width="10.421875" style="48" customWidth="1"/>
    <col min="32" max="32" width="11.421875" style="48" bestFit="1" customWidth="1"/>
    <col min="33" max="33" width="10.140625" style="48" bestFit="1" customWidth="1"/>
    <col min="34" max="16384" width="9.140625" style="48" customWidth="1"/>
  </cols>
  <sheetData>
    <row r="1" spans="1:26" ht="12.75">
      <c r="A1" s="642" t="s">
        <v>957</v>
      </c>
      <c r="B1" s="642"/>
      <c r="C1" s="642"/>
      <c r="D1" s="642"/>
      <c r="E1" s="642"/>
      <c r="F1" s="642"/>
      <c r="G1" s="642"/>
      <c r="H1" s="642"/>
      <c r="I1" s="642"/>
      <c r="J1" s="642"/>
      <c r="K1" s="642"/>
      <c r="L1" s="642"/>
      <c r="M1" s="642"/>
      <c r="N1" s="642"/>
      <c r="O1" s="642"/>
      <c r="P1" s="642"/>
      <c r="Q1" s="642"/>
      <c r="R1" s="642"/>
      <c r="S1" s="642"/>
      <c r="T1" s="642"/>
      <c r="U1" s="642"/>
      <c r="V1" s="642"/>
      <c r="W1" s="642"/>
      <c r="X1" s="642"/>
      <c r="Y1" s="642"/>
      <c r="Z1" s="39"/>
    </row>
    <row r="2" spans="1:25" s="2" customFormat="1" ht="24" customHeight="1">
      <c r="A2" s="643" t="s">
        <v>391</v>
      </c>
      <c r="B2" s="643"/>
      <c r="C2" s="643"/>
      <c r="D2" s="643"/>
      <c r="E2" s="643"/>
      <c r="F2" s="643"/>
      <c r="G2" s="643"/>
      <c r="H2" s="643"/>
      <c r="I2" s="643"/>
      <c r="J2" s="643"/>
      <c r="K2" s="643"/>
      <c r="L2" s="643"/>
      <c r="M2" s="643"/>
      <c r="N2" s="643"/>
      <c r="O2" s="643"/>
      <c r="P2" s="643"/>
      <c r="Q2" s="643"/>
      <c r="R2" s="643"/>
      <c r="S2" s="643"/>
      <c r="T2" s="643"/>
      <c r="U2" s="643"/>
      <c r="V2" s="643"/>
      <c r="W2" s="643"/>
      <c r="X2" s="643"/>
      <c r="Y2" s="643"/>
    </row>
    <row r="3" spans="1:25" s="2" customFormat="1" ht="15.75" customHeight="1">
      <c r="A3" s="644" t="str">
        <f>+'Bieu 10 Von 2016'!A4:AA4</f>
        <v>(Kèm theo Báo cáo số:                   /BC-UBND ngày          /11/2015 của UBND tỉnh Điện Biên) </v>
      </c>
      <c r="B3" s="644"/>
      <c r="C3" s="644"/>
      <c r="D3" s="644"/>
      <c r="E3" s="644"/>
      <c r="F3" s="644"/>
      <c r="G3" s="644"/>
      <c r="H3" s="644"/>
      <c r="I3" s="644"/>
      <c r="J3" s="644"/>
      <c r="K3" s="644"/>
      <c r="L3" s="644"/>
      <c r="M3" s="644"/>
      <c r="N3" s="644"/>
      <c r="O3" s="644"/>
      <c r="P3" s="644"/>
      <c r="Q3" s="644"/>
      <c r="R3" s="644"/>
      <c r="S3" s="644"/>
      <c r="T3" s="644"/>
      <c r="U3" s="644"/>
      <c r="V3" s="644"/>
      <c r="W3" s="644"/>
      <c r="X3" s="644"/>
      <c r="Y3" s="644"/>
    </row>
    <row r="4" spans="1:25" s="11" customFormat="1" ht="14.25" customHeight="1">
      <c r="A4" s="645" t="s">
        <v>23</v>
      </c>
      <c r="B4" s="645"/>
      <c r="C4" s="645"/>
      <c r="D4" s="645"/>
      <c r="E4" s="645"/>
      <c r="F4" s="645"/>
      <c r="G4" s="645"/>
      <c r="H4" s="645"/>
      <c r="I4" s="645"/>
      <c r="J4" s="645"/>
      <c r="K4" s="645"/>
      <c r="L4" s="645"/>
      <c r="M4" s="645"/>
      <c r="N4" s="645"/>
      <c r="O4" s="645"/>
      <c r="P4" s="645"/>
      <c r="Q4" s="645"/>
      <c r="R4" s="645"/>
      <c r="S4" s="645"/>
      <c r="T4" s="645"/>
      <c r="U4" s="645"/>
      <c r="V4" s="645"/>
      <c r="W4" s="645"/>
      <c r="X4" s="645"/>
      <c r="Y4" s="645"/>
    </row>
    <row r="5" spans="1:25" s="16" customFormat="1" ht="15" customHeight="1">
      <c r="A5" s="633" t="s">
        <v>24</v>
      </c>
      <c r="B5" s="633" t="s">
        <v>25</v>
      </c>
      <c r="C5" s="629" t="s">
        <v>26</v>
      </c>
      <c r="D5" s="633" t="s">
        <v>27</v>
      </c>
      <c r="E5" s="633" t="s">
        <v>28</v>
      </c>
      <c r="F5" s="633" t="s">
        <v>301</v>
      </c>
      <c r="G5" s="633"/>
      <c r="H5" s="633"/>
      <c r="I5" s="633" t="s">
        <v>29</v>
      </c>
      <c r="J5" s="633"/>
      <c r="K5" s="633"/>
      <c r="L5" s="14" t="s">
        <v>30</v>
      </c>
      <c r="M5" s="14"/>
      <c r="N5" s="647" t="s">
        <v>30</v>
      </c>
      <c r="O5" s="647"/>
      <c r="P5" s="647"/>
      <c r="Q5" s="14"/>
      <c r="R5" s="14"/>
      <c r="S5" s="14"/>
      <c r="T5" s="646" t="s">
        <v>15</v>
      </c>
      <c r="U5" s="646"/>
      <c r="V5" s="646"/>
      <c r="W5" s="646"/>
      <c r="X5" s="646"/>
      <c r="Y5" s="629" t="s">
        <v>363</v>
      </c>
    </row>
    <row r="6" spans="1:25" s="18" customFormat="1" ht="39.75" customHeight="1">
      <c r="A6" s="633"/>
      <c r="B6" s="633"/>
      <c r="C6" s="629"/>
      <c r="D6" s="633"/>
      <c r="E6" s="633"/>
      <c r="F6" s="633"/>
      <c r="G6" s="633"/>
      <c r="H6" s="633"/>
      <c r="I6" s="633"/>
      <c r="J6" s="633"/>
      <c r="K6" s="633"/>
      <c r="L6" s="633" t="s">
        <v>32</v>
      </c>
      <c r="M6" s="633"/>
      <c r="N6" s="633" t="s">
        <v>33</v>
      </c>
      <c r="O6" s="633"/>
      <c r="P6" s="633" t="s">
        <v>328</v>
      </c>
      <c r="Q6" s="12"/>
      <c r="R6" s="12"/>
      <c r="S6" s="12"/>
      <c r="T6" s="634" t="s">
        <v>335</v>
      </c>
      <c r="U6" s="634"/>
      <c r="V6" s="634"/>
      <c r="W6" s="634" t="s">
        <v>312</v>
      </c>
      <c r="X6" s="634"/>
      <c r="Y6" s="629"/>
    </row>
    <row r="7" spans="1:27" s="18" customFormat="1" ht="16.5" customHeight="1">
      <c r="A7" s="633"/>
      <c r="B7" s="633"/>
      <c r="C7" s="629"/>
      <c r="D7" s="633"/>
      <c r="E7" s="633"/>
      <c r="F7" s="633" t="s">
        <v>34</v>
      </c>
      <c r="G7" s="633" t="s">
        <v>35</v>
      </c>
      <c r="H7" s="633"/>
      <c r="I7" s="633" t="s">
        <v>34</v>
      </c>
      <c r="J7" s="633" t="s">
        <v>35</v>
      </c>
      <c r="K7" s="633"/>
      <c r="L7" s="633" t="s">
        <v>36</v>
      </c>
      <c r="M7" s="633"/>
      <c r="N7" s="633" t="s">
        <v>36</v>
      </c>
      <c r="O7" s="633"/>
      <c r="P7" s="633"/>
      <c r="Q7" s="12" t="s">
        <v>296</v>
      </c>
      <c r="R7" s="12"/>
      <c r="S7" s="12"/>
      <c r="T7" s="634" t="s">
        <v>273</v>
      </c>
      <c r="U7" s="634" t="s">
        <v>275</v>
      </c>
      <c r="V7" s="634"/>
      <c r="W7" s="634" t="s">
        <v>308</v>
      </c>
      <c r="X7" s="652" t="s">
        <v>279</v>
      </c>
      <c r="Y7" s="629"/>
      <c r="Z7" s="638"/>
      <c r="AA7" s="638"/>
    </row>
    <row r="8" spans="1:25" s="18" customFormat="1" ht="21.75" customHeight="1">
      <c r="A8" s="633"/>
      <c r="B8" s="633"/>
      <c r="C8" s="629"/>
      <c r="D8" s="633"/>
      <c r="E8" s="633"/>
      <c r="F8" s="633"/>
      <c r="G8" s="633" t="s">
        <v>37</v>
      </c>
      <c r="H8" s="633" t="s">
        <v>296</v>
      </c>
      <c r="I8" s="633"/>
      <c r="J8" s="633" t="s">
        <v>37</v>
      </c>
      <c r="K8" s="633" t="s">
        <v>299</v>
      </c>
      <c r="L8" s="633" t="s">
        <v>37</v>
      </c>
      <c r="M8" s="633" t="s">
        <v>299</v>
      </c>
      <c r="N8" s="649" t="s">
        <v>37</v>
      </c>
      <c r="O8" s="633" t="s">
        <v>299</v>
      </c>
      <c r="P8" s="633"/>
      <c r="Q8" s="12" t="s">
        <v>36</v>
      </c>
      <c r="R8" s="12" t="s">
        <v>300</v>
      </c>
      <c r="S8" s="13" t="s">
        <v>38</v>
      </c>
      <c r="T8" s="634"/>
      <c r="U8" s="634" t="s">
        <v>31</v>
      </c>
      <c r="V8" s="634" t="s">
        <v>279</v>
      </c>
      <c r="W8" s="634"/>
      <c r="X8" s="653"/>
      <c r="Y8" s="629"/>
    </row>
    <row r="9" spans="1:25" s="19" customFormat="1" ht="21.75" customHeight="1">
      <c r="A9" s="633"/>
      <c r="B9" s="633"/>
      <c r="C9" s="629"/>
      <c r="D9" s="633"/>
      <c r="E9" s="633"/>
      <c r="F9" s="633"/>
      <c r="G9" s="633"/>
      <c r="H9" s="633"/>
      <c r="I9" s="633"/>
      <c r="J9" s="633"/>
      <c r="K9" s="633"/>
      <c r="L9" s="633"/>
      <c r="M9" s="633"/>
      <c r="N9" s="650"/>
      <c r="O9" s="633"/>
      <c r="P9" s="633"/>
      <c r="Q9" s="12"/>
      <c r="R9" s="12"/>
      <c r="S9" s="13"/>
      <c r="T9" s="634"/>
      <c r="U9" s="634"/>
      <c r="V9" s="634"/>
      <c r="W9" s="634"/>
      <c r="X9" s="654"/>
      <c r="Y9" s="629"/>
    </row>
    <row r="10" spans="1:25" s="18" customFormat="1" ht="15.75" customHeight="1" hidden="1">
      <c r="A10" s="633"/>
      <c r="B10" s="633"/>
      <c r="C10" s="629"/>
      <c r="D10" s="633"/>
      <c r="E10" s="633"/>
      <c r="F10" s="633"/>
      <c r="G10" s="633"/>
      <c r="H10" s="633"/>
      <c r="I10" s="633"/>
      <c r="J10" s="633"/>
      <c r="K10" s="633"/>
      <c r="L10" s="633"/>
      <c r="M10" s="633"/>
      <c r="N10" s="650"/>
      <c r="O10" s="633"/>
      <c r="P10" s="20"/>
      <c r="Q10" s="20"/>
      <c r="R10" s="21"/>
      <c r="S10" s="22"/>
      <c r="T10" s="634"/>
      <c r="U10" s="634"/>
      <c r="V10" s="23"/>
      <c r="W10" s="23"/>
      <c r="X10" s="23"/>
      <c r="Y10" s="629"/>
    </row>
    <row r="11" spans="1:25" s="18" customFormat="1" ht="15.75" customHeight="1" hidden="1">
      <c r="A11" s="633"/>
      <c r="B11" s="633"/>
      <c r="C11" s="629"/>
      <c r="D11" s="633"/>
      <c r="E11" s="633"/>
      <c r="F11" s="633"/>
      <c r="G11" s="633"/>
      <c r="H11" s="633"/>
      <c r="I11" s="633"/>
      <c r="J11" s="633"/>
      <c r="K11" s="633"/>
      <c r="L11" s="633"/>
      <c r="M11" s="633"/>
      <c r="N11" s="651"/>
      <c r="O11" s="633"/>
      <c r="P11" s="20"/>
      <c r="Q11" s="20"/>
      <c r="R11" s="21"/>
      <c r="S11" s="22"/>
      <c r="T11" s="634"/>
      <c r="U11" s="634"/>
      <c r="V11" s="24"/>
      <c r="W11" s="24"/>
      <c r="X11" s="24"/>
      <c r="Y11" s="629"/>
    </row>
    <row r="12" spans="1:25" s="31" customFormat="1" ht="16.5" customHeight="1">
      <c r="A12" s="25">
        <v>1</v>
      </c>
      <c r="B12" s="25">
        <v>2</v>
      </c>
      <c r="C12" s="26">
        <v>3</v>
      </c>
      <c r="D12" s="25">
        <v>4</v>
      </c>
      <c r="E12" s="25">
        <v>3</v>
      </c>
      <c r="F12" s="25">
        <v>4</v>
      </c>
      <c r="G12" s="25">
        <v>5</v>
      </c>
      <c r="H12" s="25">
        <v>6</v>
      </c>
      <c r="I12" s="25">
        <v>9</v>
      </c>
      <c r="J12" s="25">
        <v>10</v>
      </c>
      <c r="K12" s="25">
        <v>11</v>
      </c>
      <c r="L12" s="25">
        <v>12</v>
      </c>
      <c r="M12" s="25">
        <v>13</v>
      </c>
      <c r="N12" s="25">
        <v>7</v>
      </c>
      <c r="O12" s="25">
        <v>8</v>
      </c>
      <c r="P12" s="27">
        <v>9</v>
      </c>
      <c r="Q12" s="25">
        <v>18</v>
      </c>
      <c r="R12" s="25">
        <v>19</v>
      </c>
      <c r="S12" s="25">
        <v>20</v>
      </c>
      <c r="T12" s="27">
        <v>10</v>
      </c>
      <c r="U12" s="27">
        <v>11</v>
      </c>
      <c r="V12" s="27">
        <v>12</v>
      </c>
      <c r="W12" s="27">
        <v>13</v>
      </c>
      <c r="X12" s="27">
        <v>14</v>
      </c>
      <c r="Y12" s="26">
        <v>15</v>
      </c>
    </row>
    <row r="13" spans="1:25" s="35" customFormat="1" ht="25.5" customHeight="1">
      <c r="A13" s="45" t="s">
        <v>40</v>
      </c>
      <c r="B13" s="45" t="s">
        <v>310</v>
      </c>
      <c r="C13" s="67"/>
      <c r="D13" s="67"/>
      <c r="E13" s="67"/>
      <c r="F13" s="67"/>
      <c r="G13" s="68">
        <f aca="true" t="shared" si="0" ref="G13:V13">G18+G27</f>
        <v>118500</v>
      </c>
      <c r="H13" s="68">
        <f t="shared" si="0"/>
        <v>103903</v>
      </c>
      <c r="I13" s="68">
        <f t="shared" si="0"/>
        <v>3450</v>
      </c>
      <c r="J13" s="68">
        <f t="shared" si="0"/>
        <v>0</v>
      </c>
      <c r="K13" s="68">
        <f t="shared" si="0"/>
        <v>0</v>
      </c>
      <c r="L13" s="68">
        <f t="shared" si="0"/>
        <v>19466</v>
      </c>
      <c r="M13" s="68">
        <f t="shared" si="0"/>
        <v>15485</v>
      </c>
      <c r="N13" s="68">
        <f t="shared" si="0"/>
        <v>73180</v>
      </c>
      <c r="O13" s="68">
        <f t="shared" si="0"/>
        <v>67661</v>
      </c>
      <c r="P13" s="68">
        <f t="shared" si="0"/>
        <v>24644</v>
      </c>
      <c r="Q13" s="68">
        <f t="shared" si="0"/>
        <v>6244</v>
      </c>
      <c r="R13" s="68">
        <f t="shared" si="0"/>
        <v>0</v>
      </c>
      <c r="S13" s="68">
        <f t="shared" si="0"/>
        <v>0</v>
      </c>
      <c r="T13" s="68">
        <f t="shared" si="0"/>
        <v>23340</v>
      </c>
      <c r="U13" s="68">
        <f t="shared" si="0"/>
        <v>27640</v>
      </c>
      <c r="V13" s="68">
        <f t="shared" si="0"/>
        <v>11240</v>
      </c>
      <c r="W13" s="68">
        <f>W14+W18+W27</f>
        <v>13749.5</v>
      </c>
      <c r="X13" s="68">
        <f>X18+X27</f>
        <v>6800</v>
      </c>
      <c r="Y13" s="33"/>
    </row>
    <row r="14" spans="1:25" s="35" customFormat="1" ht="21" customHeight="1">
      <c r="A14" s="45" t="s">
        <v>41</v>
      </c>
      <c r="B14" s="342" t="s">
        <v>337</v>
      </c>
      <c r="C14" s="67"/>
      <c r="D14" s="67"/>
      <c r="E14" s="67"/>
      <c r="F14" s="67"/>
      <c r="G14" s="68"/>
      <c r="H14" s="68"/>
      <c r="I14" s="68"/>
      <c r="J14" s="68"/>
      <c r="K14" s="68"/>
      <c r="L14" s="68"/>
      <c r="M14" s="68"/>
      <c r="N14" s="68"/>
      <c r="O14" s="68"/>
      <c r="P14" s="68"/>
      <c r="Q14" s="68"/>
      <c r="R14" s="68"/>
      <c r="S14" s="68"/>
      <c r="T14" s="68">
        <f>T15+T17</f>
        <v>15000</v>
      </c>
      <c r="U14" s="68">
        <f>U15+U17</f>
        <v>15000</v>
      </c>
      <c r="V14" s="68"/>
      <c r="W14" s="68">
        <f>W15+W16+W17</f>
        <v>292.5</v>
      </c>
      <c r="X14" s="68"/>
      <c r="Y14" s="33"/>
    </row>
    <row r="15" spans="1:53" s="91" customFormat="1" ht="31.5" customHeight="1">
      <c r="A15" s="478">
        <v>1</v>
      </c>
      <c r="B15" s="479" t="s">
        <v>908</v>
      </c>
      <c r="C15" s="480" t="s">
        <v>6</v>
      </c>
      <c r="D15" s="481"/>
      <c r="E15" s="481"/>
      <c r="F15" s="482"/>
      <c r="G15" s="483"/>
      <c r="H15" s="484"/>
      <c r="I15" s="484" t="s">
        <v>59</v>
      </c>
      <c r="J15" s="484"/>
      <c r="K15" s="484"/>
      <c r="L15" s="484"/>
      <c r="M15" s="484"/>
      <c r="N15" s="484"/>
      <c r="O15" s="484"/>
      <c r="P15" s="484"/>
      <c r="Q15" s="484"/>
      <c r="R15" s="484"/>
      <c r="S15" s="484"/>
      <c r="T15" s="157">
        <v>7500</v>
      </c>
      <c r="U15" s="157">
        <v>7500</v>
      </c>
      <c r="V15" s="485"/>
      <c r="W15" s="485">
        <f>U15/100*1.3</f>
        <v>97.5</v>
      </c>
      <c r="X15" s="486"/>
      <c r="Y15" s="485"/>
      <c r="Z15" s="159"/>
      <c r="AA15" s="160"/>
      <c r="AB15" s="156"/>
      <c r="AC15" s="158">
        <f>V15/100*35</f>
        <v>0</v>
      </c>
      <c r="AD15" s="158"/>
      <c r="AE15" s="158"/>
      <c r="AF15" s="158"/>
      <c r="AG15" s="157"/>
      <c r="AH15" s="161"/>
      <c r="AI15" s="161"/>
      <c r="AJ15" s="161"/>
      <c r="AK15" s="161"/>
      <c r="AL15" s="161"/>
      <c r="AM15" s="161"/>
      <c r="AN15" s="161"/>
      <c r="AO15" s="161"/>
      <c r="AP15" s="161"/>
      <c r="AQ15" s="161"/>
      <c r="AR15" s="161"/>
      <c r="AS15" s="161"/>
      <c r="AT15" s="161"/>
      <c r="AU15" s="161"/>
      <c r="AV15" s="161"/>
      <c r="AW15" s="161"/>
      <c r="AX15" s="161"/>
      <c r="AY15" s="161"/>
      <c r="AZ15" s="161"/>
      <c r="BA15" s="161"/>
    </row>
    <row r="16" spans="1:53" s="91" customFormat="1" ht="25.5">
      <c r="A16" s="478">
        <v>2</v>
      </c>
      <c r="B16" s="349" t="s">
        <v>482</v>
      </c>
      <c r="C16" s="480" t="s">
        <v>6</v>
      </c>
      <c r="D16" s="481"/>
      <c r="E16" s="481"/>
      <c r="F16" s="482" t="s">
        <v>59</v>
      </c>
      <c r="G16" s="483"/>
      <c r="H16" s="484"/>
      <c r="I16" s="484"/>
      <c r="J16" s="484"/>
      <c r="K16" s="484"/>
      <c r="L16" s="484"/>
      <c r="M16" s="484"/>
      <c r="N16" s="484"/>
      <c r="O16" s="484"/>
      <c r="P16" s="484"/>
      <c r="Q16" s="484"/>
      <c r="R16" s="484"/>
      <c r="S16" s="484"/>
      <c r="T16" s="24">
        <v>7500</v>
      </c>
      <c r="U16" s="24">
        <f>T16</f>
        <v>7500</v>
      </c>
      <c r="V16" s="485"/>
      <c r="W16" s="485">
        <f>U16/100*1.3</f>
        <v>97.5</v>
      </c>
      <c r="X16" s="486"/>
      <c r="Y16" s="485"/>
      <c r="Z16" s="159"/>
      <c r="AA16" s="160"/>
      <c r="AB16" s="156"/>
      <c r="AC16" s="158"/>
      <c r="AD16" s="158"/>
      <c r="AE16" s="158"/>
      <c r="AF16" s="158"/>
      <c r="AG16" s="157"/>
      <c r="AH16" s="161"/>
      <c r="AI16" s="161"/>
      <c r="AJ16" s="161"/>
      <c r="AK16" s="161"/>
      <c r="AL16" s="161"/>
      <c r="AM16" s="161"/>
      <c r="AN16" s="161"/>
      <c r="AO16" s="161"/>
      <c r="AP16" s="161"/>
      <c r="AQ16" s="161"/>
      <c r="AR16" s="161"/>
      <c r="AS16" s="161"/>
      <c r="AT16" s="161"/>
      <c r="AU16" s="161"/>
      <c r="AV16" s="161"/>
      <c r="AW16" s="161"/>
      <c r="AX16" s="161"/>
      <c r="AY16" s="161"/>
      <c r="AZ16" s="161"/>
      <c r="BA16" s="161"/>
    </row>
    <row r="17" spans="1:53" s="91" customFormat="1" ht="25.5">
      <c r="A17" s="478">
        <v>3</v>
      </c>
      <c r="B17" s="479" t="s">
        <v>909</v>
      </c>
      <c r="C17" s="480" t="s">
        <v>6</v>
      </c>
      <c r="D17" s="481"/>
      <c r="E17" s="481"/>
      <c r="F17" s="482" t="s">
        <v>59</v>
      </c>
      <c r="G17" s="483"/>
      <c r="H17" s="484"/>
      <c r="I17" s="484" t="s">
        <v>59</v>
      </c>
      <c r="J17" s="484"/>
      <c r="K17" s="484"/>
      <c r="L17" s="484"/>
      <c r="M17" s="484"/>
      <c r="N17" s="484"/>
      <c r="O17" s="484"/>
      <c r="P17" s="484"/>
      <c r="Q17" s="484"/>
      <c r="R17" s="484"/>
      <c r="S17" s="484"/>
      <c r="T17" s="157">
        <v>7500</v>
      </c>
      <c r="U17" s="157">
        <v>7500</v>
      </c>
      <c r="V17" s="485"/>
      <c r="W17" s="485">
        <f>U17/100*1.3</f>
        <v>97.5</v>
      </c>
      <c r="X17" s="486"/>
      <c r="Y17" s="485" t="s">
        <v>59</v>
      </c>
      <c r="Z17" s="159"/>
      <c r="AA17" s="160"/>
      <c r="AB17" s="156"/>
      <c r="AC17" s="158">
        <f>V17/100*35</f>
        <v>0</v>
      </c>
      <c r="AD17" s="158"/>
      <c r="AE17" s="158"/>
      <c r="AF17" s="158"/>
      <c r="AG17" s="157"/>
      <c r="AH17" s="161"/>
      <c r="AI17" s="161"/>
      <c r="AJ17" s="161"/>
      <c r="AK17" s="161"/>
      <c r="AL17" s="161"/>
      <c r="AM17" s="161"/>
      <c r="AN17" s="161"/>
      <c r="AO17" s="161"/>
      <c r="AP17" s="161"/>
      <c r="AQ17" s="161"/>
      <c r="AR17" s="161"/>
      <c r="AS17" s="161"/>
      <c r="AT17" s="161"/>
      <c r="AU17" s="161"/>
      <c r="AV17" s="161"/>
      <c r="AW17" s="161"/>
      <c r="AX17" s="161"/>
      <c r="AY17" s="161"/>
      <c r="AZ17" s="161"/>
      <c r="BA17" s="161"/>
    </row>
    <row r="18" spans="1:25" s="35" customFormat="1" ht="25.5">
      <c r="A18" s="45" t="s">
        <v>43</v>
      </c>
      <c r="B18" s="34" t="s">
        <v>390</v>
      </c>
      <c r="C18" s="67"/>
      <c r="D18" s="67"/>
      <c r="E18" s="67"/>
      <c r="F18" s="67"/>
      <c r="G18" s="68">
        <f aca="true" t="shared" si="1" ref="G18:X18">SUM(G19:G26)</f>
        <v>59500</v>
      </c>
      <c r="H18" s="68">
        <f t="shared" si="1"/>
        <v>44903</v>
      </c>
      <c r="I18" s="68">
        <f t="shared" si="1"/>
        <v>3450</v>
      </c>
      <c r="J18" s="68">
        <f t="shared" si="1"/>
        <v>0</v>
      </c>
      <c r="K18" s="68">
        <f t="shared" si="1"/>
        <v>0</v>
      </c>
      <c r="L18" s="68">
        <f t="shared" si="1"/>
        <v>19466</v>
      </c>
      <c r="M18" s="68">
        <f t="shared" si="1"/>
        <v>15485</v>
      </c>
      <c r="N18" s="68">
        <f t="shared" si="1"/>
        <v>27680</v>
      </c>
      <c r="O18" s="68">
        <f t="shared" si="1"/>
        <v>22161</v>
      </c>
      <c r="P18" s="68">
        <f t="shared" si="1"/>
        <v>15644</v>
      </c>
      <c r="Q18" s="68">
        <f t="shared" si="1"/>
        <v>6244</v>
      </c>
      <c r="R18" s="68">
        <f t="shared" si="1"/>
        <v>0</v>
      </c>
      <c r="S18" s="68">
        <f t="shared" si="1"/>
        <v>0</v>
      </c>
      <c r="T18" s="68">
        <f t="shared" si="1"/>
        <v>18840</v>
      </c>
      <c r="U18" s="68">
        <f t="shared" si="1"/>
        <v>23140</v>
      </c>
      <c r="V18" s="68">
        <f t="shared" si="1"/>
        <v>11240</v>
      </c>
      <c r="W18" s="68">
        <f t="shared" si="1"/>
        <v>9957</v>
      </c>
      <c r="X18" s="68">
        <f t="shared" si="1"/>
        <v>6800</v>
      </c>
      <c r="Y18" s="33"/>
    </row>
    <row r="19" spans="1:232" s="40" customFormat="1" ht="51">
      <c r="A19" s="25">
        <v>1</v>
      </c>
      <c r="B19" s="346" t="s">
        <v>263</v>
      </c>
      <c r="C19" s="26"/>
      <c r="D19" s="26"/>
      <c r="E19" s="75" t="s">
        <v>265</v>
      </c>
      <c r="F19" s="356" t="s">
        <v>266</v>
      </c>
      <c r="G19" s="436">
        <v>7200</v>
      </c>
      <c r="H19" s="436">
        <v>7200</v>
      </c>
      <c r="I19" s="30"/>
      <c r="J19" s="30"/>
      <c r="K19" s="30"/>
      <c r="L19" s="436">
        <v>6500</v>
      </c>
      <c r="M19" s="436">
        <f>7200-700</f>
        <v>6500</v>
      </c>
      <c r="N19" s="30">
        <f>O19</f>
        <v>6500</v>
      </c>
      <c r="O19" s="436">
        <v>6500</v>
      </c>
      <c r="P19" s="436"/>
      <c r="Q19" s="30"/>
      <c r="R19" s="30"/>
      <c r="S19" s="30"/>
      <c r="T19" s="414">
        <v>720</v>
      </c>
      <c r="U19" s="24">
        <f aca="true" t="shared" si="2" ref="U19:V22">T19</f>
        <v>720</v>
      </c>
      <c r="V19" s="30">
        <f t="shared" si="2"/>
        <v>720</v>
      </c>
      <c r="W19" s="30">
        <v>100</v>
      </c>
      <c r="X19" s="30">
        <f>W19</f>
        <v>100</v>
      </c>
      <c r="Y19" s="26" t="s">
        <v>860</v>
      </c>
      <c r="Z19" s="66"/>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row>
    <row r="20" spans="1:232" s="40" customFormat="1" ht="51">
      <c r="A20" s="25">
        <v>2</v>
      </c>
      <c r="B20" s="346" t="s">
        <v>264</v>
      </c>
      <c r="C20" s="26"/>
      <c r="D20" s="26"/>
      <c r="E20" s="75" t="s">
        <v>267</v>
      </c>
      <c r="F20" s="75" t="s">
        <v>268</v>
      </c>
      <c r="G20" s="436">
        <v>7000</v>
      </c>
      <c r="H20" s="436">
        <v>7000</v>
      </c>
      <c r="I20" s="30"/>
      <c r="J20" s="30"/>
      <c r="K20" s="30"/>
      <c r="L20" s="436">
        <f>7000-715</f>
        <v>6285</v>
      </c>
      <c r="M20" s="436">
        <v>6285</v>
      </c>
      <c r="N20" s="30">
        <v>6280</v>
      </c>
      <c r="O20" s="436">
        <f>N20</f>
        <v>6280</v>
      </c>
      <c r="P20" s="436"/>
      <c r="Q20" s="30"/>
      <c r="R20" s="30"/>
      <c r="S20" s="30"/>
      <c r="T20" s="414">
        <v>720</v>
      </c>
      <c r="U20" s="24">
        <f t="shared" si="2"/>
        <v>720</v>
      </c>
      <c r="V20" s="30">
        <f t="shared" si="2"/>
        <v>720</v>
      </c>
      <c r="W20" s="30"/>
      <c r="X20" s="30"/>
      <c r="Y20" s="26" t="s">
        <v>861</v>
      </c>
      <c r="Z20" s="66"/>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row>
    <row r="21" spans="1:26" s="41" customFormat="1" ht="38.25">
      <c r="A21" s="25">
        <v>3</v>
      </c>
      <c r="B21" s="295" t="s">
        <v>114</v>
      </c>
      <c r="C21" s="480" t="s">
        <v>6</v>
      </c>
      <c r="D21" s="54"/>
      <c r="E21" s="75" t="s">
        <v>304</v>
      </c>
      <c r="F21" s="356" t="s">
        <v>115</v>
      </c>
      <c r="G21" s="296">
        <v>8000</v>
      </c>
      <c r="H21" s="296">
        <v>4740</v>
      </c>
      <c r="I21" s="296"/>
      <c r="J21" s="296"/>
      <c r="K21" s="296"/>
      <c r="L21" s="296">
        <v>3280</v>
      </c>
      <c r="M21" s="296"/>
      <c r="N21" s="414">
        <f>G21-U21</f>
        <v>6000</v>
      </c>
      <c r="O21" s="296">
        <v>3280</v>
      </c>
      <c r="P21" s="296">
        <v>2744</v>
      </c>
      <c r="Q21" s="296">
        <v>2744</v>
      </c>
      <c r="R21" s="296"/>
      <c r="S21" s="296" t="s">
        <v>59</v>
      </c>
      <c r="T21" s="414">
        <v>2000</v>
      </c>
      <c r="U21" s="24">
        <f t="shared" si="2"/>
        <v>2000</v>
      </c>
      <c r="V21" s="24">
        <f t="shared" si="2"/>
        <v>2000</v>
      </c>
      <c r="W21" s="24">
        <v>2000</v>
      </c>
      <c r="X21" s="24">
        <f>W21</f>
        <v>2000</v>
      </c>
      <c r="Y21" s="37" t="s">
        <v>971</v>
      </c>
      <c r="Z21" s="66"/>
    </row>
    <row r="22" spans="1:26" s="41" customFormat="1" ht="38.25">
      <c r="A22" s="25">
        <v>4</v>
      </c>
      <c r="B22" s="295" t="s">
        <v>116</v>
      </c>
      <c r="C22" s="480" t="s">
        <v>6</v>
      </c>
      <c r="D22" s="54"/>
      <c r="E22" s="75" t="s">
        <v>304</v>
      </c>
      <c r="F22" s="356" t="s">
        <v>117</v>
      </c>
      <c r="G22" s="296">
        <v>7700</v>
      </c>
      <c r="H22" s="296">
        <v>4063</v>
      </c>
      <c r="I22" s="296"/>
      <c r="J22" s="296"/>
      <c r="K22" s="296"/>
      <c r="L22" s="296">
        <v>3401</v>
      </c>
      <c r="M22" s="296"/>
      <c r="N22" s="414">
        <f>G22-U22</f>
        <v>6200</v>
      </c>
      <c r="O22" s="296">
        <v>3401</v>
      </c>
      <c r="P22" s="296">
        <v>2500</v>
      </c>
      <c r="Q22" s="296">
        <v>2500</v>
      </c>
      <c r="R22" s="296"/>
      <c r="S22" s="296"/>
      <c r="T22" s="414">
        <v>1500</v>
      </c>
      <c r="U22" s="24">
        <f t="shared" si="2"/>
        <v>1500</v>
      </c>
      <c r="V22" s="24">
        <f t="shared" si="2"/>
        <v>1500</v>
      </c>
      <c r="W22" s="24">
        <f>V22</f>
        <v>1500</v>
      </c>
      <c r="X22" s="24">
        <f>W22</f>
        <v>1500</v>
      </c>
      <c r="Y22" s="37" t="s">
        <v>971</v>
      </c>
      <c r="Z22" s="66"/>
    </row>
    <row r="23" spans="1:34" s="91" customFormat="1" ht="38.25">
      <c r="A23" s="25">
        <v>5</v>
      </c>
      <c r="B23" s="153" t="s">
        <v>260</v>
      </c>
      <c r="C23" s="480" t="s">
        <v>6</v>
      </c>
      <c r="D23" s="152"/>
      <c r="E23" s="152"/>
      <c r="F23" s="483" t="s">
        <v>343</v>
      </c>
      <c r="G23" s="487">
        <v>8000</v>
      </c>
      <c r="H23" s="484">
        <v>8000</v>
      </c>
      <c r="I23" s="484">
        <v>3450</v>
      </c>
      <c r="J23" s="484"/>
      <c r="K23" s="484"/>
      <c r="L23" s="484"/>
      <c r="M23" s="484">
        <v>2700</v>
      </c>
      <c r="N23" s="484">
        <f>M23</f>
        <v>2700</v>
      </c>
      <c r="O23" s="484">
        <v>2700</v>
      </c>
      <c r="P23" s="484">
        <f>O23</f>
        <v>2700</v>
      </c>
      <c r="Q23" s="484">
        <v>1000</v>
      </c>
      <c r="R23" s="484"/>
      <c r="S23" s="484"/>
      <c r="T23" s="484"/>
      <c r="U23" s="485">
        <f>H23-3700</f>
        <v>4300</v>
      </c>
      <c r="V23" s="485">
        <f>U23</f>
        <v>4300</v>
      </c>
      <c r="W23" s="24">
        <v>1600</v>
      </c>
      <c r="X23" s="24">
        <f>W23</f>
        <v>1600</v>
      </c>
      <c r="Y23" s="37" t="s">
        <v>567</v>
      </c>
      <c r="Z23" s="92"/>
      <c r="AA23" s="93" t="s">
        <v>369</v>
      </c>
      <c r="AB23" s="88">
        <v>2033</v>
      </c>
      <c r="AC23" s="87"/>
      <c r="AD23" s="87">
        <f>V23-X23</f>
        <v>2700</v>
      </c>
      <c r="AE23" s="87"/>
      <c r="AF23" s="87"/>
      <c r="AG23" s="89" t="e">
        <f>W23-Y23</f>
        <v>#VALUE!</v>
      </c>
      <c r="AH23" s="90">
        <f>+X23-AB23</f>
        <v>-433</v>
      </c>
    </row>
    <row r="24" spans="1:26" s="41" customFormat="1" ht="38.25">
      <c r="A24" s="25">
        <v>6</v>
      </c>
      <c r="B24" s="295" t="s">
        <v>563</v>
      </c>
      <c r="C24" s="298" t="s">
        <v>802</v>
      </c>
      <c r="D24" s="54"/>
      <c r="E24" s="75"/>
      <c r="F24" s="356" t="s">
        <v>566</v>
      </c>
      <c r="G24" s="296">
        <v>7000</v>
      </c>
      <c r="H24" s="296">
        <f>G24-2500</f>
        <v>4500</v>
      </c>
      <c r="I24" s="296"/>
      <c r="J24" s="296"/>
      <c r="K24" s="296"/>
      <c r="L24" s="296"/>
      <c r="M24" s="296"/>
      <c r="N24" s="414"/>
      <c r="O24" s="296"/>
      <c r="P24" s="296">
        <v>2500</v>
      </c>
      <c r="Q24" s="296"/>
      <c r="R24" s="296"/>
      <c r="S24" s="296"/>
      <c r="T24" s="414">
        <f>H24</f>
        <v>4500</v>
      </c>
      <c r="U24" s="24">
        <f>T24</f>
        <v>4500</v>
      </c>
      <c r="V24" s="24">
        <v>2000</v>
      </c>
      <c r="W24" s="24">
        <v>1600</v>
      </c>
      <c r="X24" s="24">
        <f>W24</f>
        <v>1600</v>
      </c>
      <c r="Y24" s="37" t="s">
        <v>567</v>
      </c>
      <c r="Z24" s="66"/>
    </row>
    <row r="25" spans="1:26" s="41" customFormat="1" ht="38.25">
      <c r="A25" s="25">
        <v>7</v>
      </c>
      <c r="B25" s="359" t="s">
        <v>508</v>
      </c>
      <c r="C25" s="298" t="s">
        <v>802</v>
      </c>
      <c r="D25" s="54"/>
      <c r="E25" s="75"/>
      <c r="F25" s="483" t="s">
        <v>867</v>
      </c>
      <c r="G25" s="350">
        <v>6700</v>
      </c>
      <c r="H25" s="350">
        <v>4200</v>
      </c>
      <c r="I25" s="296"/>
      <c r="J25" s="296"/>
      <c r="K25" s="296"/>
      <c r="L25" s="296"/>
      <c r="M25" s="296"/>
      <c r="N25" s="414"/>
      <c r="O25" s="296"/>
      <c r="P25" s="350">
        <v>2500</v>
      </c>
      <c r="Q25" s="296"/>
      <c r="R25" s="296"/>
      <c r="S25" s="296"/>
      <c r="T25" s="350">
        <v>4200</v>
      </c>
      <c r="U25" s="350">
        <v>4200</v>
      </c>
      <c r="V25" s="24"/>
      <c r="W25" s="24">
        <v>1600</v>
      </c>
      <c r="X25" s="24"/>
      <c r="Y25" s="37" t="s">
        <v>567</v>
      </c>
      <c r="Z25" s="66"/>
    </row>
    <row r="26" spans="1:26" s="41" customFormat="1" ht="38.25">
      <c r="A26" s="25">
        <v>8</v>
      </c>
      <c r="B26" s="359" t="s">
        <v>509</v>
      </c>
      <c r="C26" s="298" t="s">
        <v>802</v>
      </c>
      <c r="D26" s="54"/>
      <c r="E26" s="75"/>
      <c r="F26" s="483" t="s">
        <v>868</v>
      </c>
      <c r="G26" s="350">
        <v>7900</v>
      </c>
      <c r="H26" s="350">
        <v>5200</v>
      </c>
      <c r="I26" s="296"/>
      <c r="J26" s="296"/>
      <c r="K26" s="296"/>
      <c r="L26" s="296"/>
      <c r="M26" s="296"/>
      <c r="N26" s="414"/>
      <c r="O26" s="296"/>
      <c r="P26" s="350">
        <v>2700</v>
      </c>
      <c r="Q26" s="296"/>
      <c r="R26" s="296"/>
      <c r="S26" s="296"/>
      <c r="T26" s="350">
        <v>5200</v>
      </c>
      <c r="U26" s="350">
        <v>5200</v>
      </c>
      <c r="V26" s="24"/>
      <c r="W26" s="24">
        <v>1557</v>
      </c>
      <c r="X26" s="24"/>
      <c r="Y26" s="37" t="s">
        <v>567</v>
      </c>
      <c r="Z26" s="66"/>
    </row>
    <row r="27" spans="1:25" s="35" customFormat="1" ht="25.5">
      <c r="A27" s="45" t="s">
        <v>44</v>
      </c>
      <c r="B27" s="34" t="s">
        <v>371</v>
      </c>
      <c r="C27" s="67"/>
      <c r="D27" s="67"/>
      <c r="E27" s="67"/>
      <c r="F27" s="67"/>
      <c r="G27" s="68">
        <f aca="true" t="shared" si="3" ref="G27:S27">SUM(G28:G45)</f>
        <v>59000</v>
      </c>
      <c r="H27" s="68">
        <f t="shared" si="3"/>
        <v>59000</v>
      </c>
      <c r="I27" s="68">
        <f t="shared" si="3"/>
        <v>0</v>
      </c>
      <c r="J27" s="68">
        <f t="shared" si="3"/>
        <v>0</v>
      </c>
      <c r="K27" s="68">
        <f t="shared" si="3"/>
        <v>0</v>
      </c>
      <c r="L27" s="68">
        <f t="shared" si="3"/>
        <v>0</v>
      </c>
      <c r="M27" s="68">
        <f t="shared" si="3"/>
        <v>0</v>
      </c>
      <c r="N27" s="68">
        <f t="shared" si="3"/>
        <v>45500</v>
      </c>
      <c r="O27" s="68">
        <f t="shared" si="3"/>
        <v>45500</v>
      </c>
      <c r="P27" s="68">
        <f t="shared" si="3"/>
        <v>9000</v>
      </c>
      <c r="Q27" s="68">
        <f t="shared" si="3"/>
        <v>0</v>
      </c>
      <c r="R27" s="68">
        <f t="shared" si="3"/>
        <v>0</v>
      </c>
      <c r="S27" s="68">
        <f t="shared" si="3"/>
        <v>0</v>
      </c>
      <c r="T27" s="68">
        <f>SUM(T28:T45)</f>
        <v>4500</v>
      </c>
      <c r="U27" s="68">
        <f>SUM(U28:U45)</f>
        <v>4500</v>
      </c>
      <c r="V27" s="68">
        <f>SUM(V28:V45)</f>
        <v>0</v>
      </c>
      <c r="W27" s="68">
        <f>SUM(W28:W45)</f>
        <v>3500</v>
      </c>
      <c r="X27" s="68">
        <f>SUM(X28:X45)</f>
        <v>0</v>
      </c>
      <c r="Y27" s="33"/>
    </row>
    <row r="28" spans="1:232" s="40" customFormat="1" ht="12.75">
      <c r="A28" s="25">
        <v>1</v>
      </c>
      <c r="B28" s="346" t="s">
        <v>374</v>
      </c>
      <c r="C28" s="26" t="s">
        <v>331</v>
      </c>
      <c r="D28" s="26"/>
      <c r="E28" s="75"/>
      <c r="F28" s="356"/>
      <c r="G28" s="436">
        <v>3500</v>
      </c>
      <c r="H28" s="436">
        <f>G28</f>
        <v>3500</v>
      </c>
      <c r="I28" s="30"/>
      <c r="J28" s="30"/>
      <c r="K28" s="30"/>
      <c r="L28" s="436"/>
      <c r="M28" s="436"/>
      <c r="N28" s="30">
        <f>G28-P28-T28</f>
        <v>2500</v>
      </c>
      <c r="O28" s="436">
        <f>N28</f>
        <v>2500</v>
      </c>
      <c r="P28" s="436">
        <v>500</v>
      </c>
      <c r="Q28" s="30"/>
      <c r="R28" s="30"/>
      <c r="S28" s="30"/>
      <c r="T28" s="414">
        <v>500</v>
      </c>
      <c r="U28" s="24">
        <f>T28</f>
        <v>500</v>
      </c>
      <c r="V28" s="30"/>
      <c r="W28" s="30">
        <f>U28</f>
        <v>500</v>
      </c>
      <c r="X28" s="30"/>
      <c r="Y28" s="30"/>
      <c r="Z28" s="66"/>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row>
    <row r="29" spans="1:232" s="40" customFormat="1" ht="12.75">
      <c r="A29" s="25">
        <v>2</v>
      </c>
      <c r="B29" s="346" t="s">
        <v>375</v>
      </c>
      <c r="C29" s="26" t="s">
        <v>331</v>
      </c>
      <c r="D29" s="26"/>
      <c r="E29" s="75"/>
      <c r="F29" s="356"/>
      <c r="G29" s="436">
        <v>4000</v>
      </c>
      <c r="H29" s="436">
        <f aca="true" t="shared" si="4" ref="H29:H45">G29</f>
        <v>4000</v>
      </c>
      <c r="I29" s="30"/>
      <c r="J29" s="30"/>
      <c r="K29" s="30"/>
      <c r="L29" s="436"/>
      <c r="M29" s="436"/>
      <c r="N29" s="30">
        <f aca="true" t="shared" si="5" ref="N29:N45">G29-P29-T29</f>
        <v>2500</v>
      </c>
      <c r="O29" s="436">
        <f aca="true" t="shared" si="6" ref="O29:O45">N29</f>
        <v>2500</v>
      </c>
      <c r="P29" s="436">
        <v>500</v>
      </c>
      <c r="Q29" s="30"/>
      <c r="R29" s="30"/>
      <c r="S29" s="30"/>
      <c r="T29" s="414">
        <v>1000</v>
      </c>
      <c r="U29" s="24">
        <f>T29</f>
        <v>1000</v>
      </c>
      <c r="V29" s="30"/>
      <c r="W29" s="30">
        <v>1000</v>
      </c>
      <c r="X29" s="30"/>
      <c r="Y29" s="30"/>
      <c r="Z29" s="66"/>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row>
    <row r="30" spans="1:232" s="40" customFormat="1" ht="12.75">
      <c r="A30" s="25">
        <v>3</v>
      </c>
      <c r="B30" s="346" t="s">
        <v>376</v>
      </c>
      <c r="C30" s="26" t="s">
        <v>331</v>
      </c>
      <c r="D30" s="26"/>
      <c r="E30" s="75"/>
      <c r="F30" s="356"/>
      <c r="G30" s="436">
        <v>3500</v>
      </c>
      <c r="H30" s="436">
        <f t="shared" si="4"/>
        <v>3500</v>
      </c>
      <c r="I30" s="30"/>
      <c r="J30" s="30"/>
      <c r="K30" s="30"/>
      <c r="L30" s="436"/>
      <c r="M30" s="436"/>
      <c r="N30" s="30">
        <f t="shared" si="5"/>
        <v>2500</v>
      </c>
      <c r="O30" s="436">
        <f t="shared" si="6"/>
        <v>2500</v>
      </c>
      <c r="P30" s="436">
        <v>500</v>
      </c>
      <c r="Q30" s="30"/>
      <c r="R30" s="30"/>
      <c r="S30" s="30"/>
      <c r="T30" s="414">
        <v>500</v>
      </c>
      <c r="U30" s="24">
        <f>T30</f>
        <v>500</v>
      </c>
      <c r="V30" s="30"/>
      <c r="W30" s="30">
        <f aca="true" t="shared" si="7" ref="W30:W44">U30</f>
        <v>500</v>
      </c>
      <c r="X30" s="30"/>
      <c r="Y30" s="30"/>
      <c r="Z30" s="66"/>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row>
    <row r="31" spans="1:232" s="40" customFormat="1" ht="12.75">
      <c r="A31" s="25">
        <v>4</v>
      </c>
      <c r="B31" s="346" t="s">
        <v>377</v>
      </c>
      <c r="C31" s="26" t="s">
        <v>331</v>
      </c>
      <c r="D31" s="26"/>
      <c r="E31" s="75"/>
      <c r="F31" s="356"/>
      <c r="G31" s="436">
        <v>4000</v>
      </c>
      <c r="H31" s="436">
        <f t="shared" si="4"/>
        <v>4000</v>
      </c>
      <c r="I31" s="30"/>
      <c r="J31" s="30"/>
      <c r="K31" s="30"/>
      <c r="L31" s="436"/>
      <c r="M31" s="436"/>
      <c r="N31" s="30">
        <f t="shared" si="5"/>
        <v>2500</v>
      </c>
      <c r="O31" s="436">
        <f t="shared" si="6"/>
        <v>2500</v>
      </c>
      <c r="P31" s="436">
        <v>500</v>
      </c>
      <c r="Q31" s="30"/>
      <c r="R31" s="30"/>
      <c r="S31" s="30"/>
      <c r="T31" s="414">
        <v>1000</v>
      </c>
      <c r="U31" s="24">
        <f>T31</f>
        <v>1000</v>
      </c>
      <c r="V31" s="30"/>
      <c r="W31" s="30">
        <v>1000</v>
      </c>
      <c r="X31" s="30"/>
      <c r="Y31" s="30"/>
      <c r="Z31" s="66"/>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row>
    <row r="32" spans="1:232" s="40" customFormat="1" ht="12.75">
      <c r="A32" s="25">
        <v>5</v>
      </c>
      <c r="B32" s="346" t="s">
        <v>373</v>
      </c>
      <c r="C32" s="26" t="s">
        <v>331</v>
      </c>
      <c r="D32" s="26"/>
      <c r="E32" s="75"/>
      <c r="F32" s="356"/>
      <c r="G32" s="436">
        <f>G30</f>
        <v>3500</v>
      </c>
      <c r="H32" s="436">
        <f t="shared" si="4"/>
        <v>3500</v>
      </c>
      <c r="I32" s="30"/>
      <c r="J32" s="30"/>
      <c r="K32" s="30"/>
      <c r="L32" s="436"/>
      <c r="M32" s="436"/>
      <c r="N32" s="30">
        <f t="shared" si="5"/>
        <v>3000</v>
      </c>
      <c r="O32" s="436">
        <f t="shared" si="6"/>
        <v>3000</v>
      </c>
      <c r="P32" s="436">
        <v>500</v>
      </c>
      <c r="Q32" s="30"/>
      <c r="R32" s="30"/>
      <c r="S32" s="30"/>
      <c r="T32" s="30">
        <v>0</v>
      </c>
      <c r="U32" s="30">
        <v>0</v>
      </c>
      <c r="V32" s="30"/>
      <c r="W32" s="30">
        <v>0</v>
      </c>
      <c r="X32" s="30"/>
      <c r="Y32" s="30"/>
      <c r="Z32" s="66"/>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row>
    <row r="33" spans="1:232" s="40" customFormat="1" ht="12.75">
      <c r="A33" s="25">
        <v>6</v>
      </c>
      <c r="B33" s="346" t="s">
        <v>378</v>
      </c>
      <c r="C33" s="26" t="s">
        <v>189</v>
      </c>
      <c r="D33" s="26"/>
      <c r="E33" s="75"/>
      <c r="F33" s="356"/>
      <c r="G33" s="436">
        <v>3500</v>
      </c>
      <c r="H33" s="436">
        <f t="shared" si="4"/>
        <v>3500</v>
      </c>
      <c r="I33" s="30"/>
      <c r="J33" s="30"/>
      <c r="K33" s="30"/>
      <c r="L33" s="436"/>
      <c r="M33" s="436"/>
      <c r="N33" s="30">
        <f t="shared" si="5"/>
        <v>2500</v>
      </c>
      <c r="O33" s="436">
        <f t="shared" si="6"/>
        <v>2500</v>
      </c>
      <c r="P33" s="436">
        <v>500</v>
      </c>
      <c r="Q33" s="30"/>
      <c r="R33" s="30"/>
      <c r="S33" s="30"/>
      <c r="T33" s="414">
        <v>500</v>
      </c>
      <c r="U33" s="24">
        <f>T33</f>
        <v>500</v>
      </c>
      <c r="V33" s="30"/>
      <c r="W33" s="30"/>
      <c r="X33" s="30"/>
      <c r="Y33" s="30"/>
      <c r="Z33" s="66"/>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row>
    <row r="34" spans="1:232" s="40" customFormat="1" ht="12.75">
      <c r="A34" s="25">
        <v>7</v>
      </c>
      <c r="B34" s="346" t="s">
        <v>379</v>
      </c>
      <c r="C34" s="26" t="s">
        <v>189</v>
      </c>
      <c r="D34" s="26"/>
      <c r="E34" s="75"/>
      <c r="F34" s="356"/>
      <c r="G34" s="436">
        <v>3000</v>
      </c>
      <c r="H34" s="436">
        <f t="shared" si="4"/>
        <v>3000</v>
      </c>
      <c r="I34" s="30"/>
      <c r="J34" s="30"/>
      <c r="K34" s="30"/>
      <c r="L34" s="436"/>
      <c r="M34" s="436"/>
      <c r="N34" s="30">
        <f t="shared" si="5"/>
        <v>2500</v>
      </c>
      <c r="O34" s="436">
        <f t="shared" si="6"/>
        <v>2500</v>
      </c>
      <c r="P34" s="436">
        <v>500</v>
      </c>
      <c r="Q34" s="30"/>
      <c r="R34" s="30"/>
      <c r="S34" s="30"/>
      <c r="T34" s="30">
        <v>0</v>
      </c>
      <c r="U34" s="30">
        <v>0</v>
      </c>
      <c r="V34" s="30"/>
      <c r="W34" s="30">
        <f t="shared" si="7"/>
        <v>0</v>
      </c>
      <c r="X34" s="30"/>
      <c r="Y34" s="30"/>
      <c r="Z34" s="66"/>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row>
    <row r="35" spans="1:232" s="40" customFormat="1" ht="12.75">
      <c r="A35" s="25">
        <v>8</v>
      </c>
      <c r="B35" s="346" t="s">
        <v>238</v>
      </c>
      <c r="C35" s="26" t="s">
        <v>97</v>
      </c>
      <c r="D35" s="26"/>
      <c r="E35" s="75"/>
      <c r="F35" s="356"/>
      <c r="G35" s="436">
        <v>3000</v>
      </c>
      <c r="H35" s="436">
        <f t="shared" si="4"/>
        <v>3000</v>
      </c>
      <c r="I35" s="30"/>
      <c r="J35" s="30"/>
      <c r="K35" s="30"/>
      <c r="L35" s="436"/>
      <c r="M35" s="436"/>
      <c r="N35" s="30">
        <f t="shared" si="5"/>
        <v>2500</v>
      </c>
      <c r="O35" s="436">
        <f t="shared" si="6"/>
        <v>2500</v>
      </c>
      <c r="P35" s="436">
        <v>500</v>
      </c>
      <c r="Q35" s="30"/>
      <c r="R35" s="30"/>
      <c r="S35" s="30"/>
      <c r="T35" s="30">
        <v>0</v>
      </c>
      <c r="U35" s="30">
        <v>0</v>
      </c>
      <c r="V35" s="30"/>
      <c r="W35" s="30">
        <f t="shared" si="7"/>
        <v>0</v>
      </c>
      <c r="X35" s="30"/>
      <c r="Y35" s="30"/>
      <c r="Z35" s="66"/>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row>
    <row r="36" spans="1:232" s="40" customFormat="1" ht="12.75">
      <c r="A36" s="25">
        <v>9</v>
      </c>
      <c r="B36" s="346" t="s">
        <v>380</v>
      </c>
      <c r="C36" s="26" t="s">
        <v>97</v>
      </c>
      <c r="D36" s="26"/>
      <c r="E36" s="75"/>
      <c r="F36" s="356"/>
      <c r="G36" s="436">
        <f>G35</f>
        <v>3000</v>
      </c>
      <c r="H36" s="436">
        <f t="shared" si="4"/>
        <v>3000</v>
      </c>
      <c r="I36" s="30"/>
      <c r="J36" s="30"/>
      <c r="K36" s="30"/>
      <c r="L36" s="436"/>
      <c r="M36" s="436"/>
      <c r="N36" s="30">
        <f t="shared" si="5"/>
        <v>2500</v>
      </c>
      <c r="O36" s="436">
        <f t="shared" si="6"/>
        <v>2500</v>
      </c>
      <c r="P36" s="436">
        <v>500</v>
      </c>
      <c r="Q36" s="30"/>
      <c r="R36" s="30"/>
      <c r="S36" s="30"/>
      <c r="T36" s="30">
        <v>0</v>
      </c>
      <c r="U36" s="30">
        <v>0</v>
      </c>
      <c r="V36" s="30"/>
      <c r="W36" s="30">
        <f t="shared" si="7"/>
        <v>0</v>
      </c>
      <c r="X36" s="30"/>
      <c r="Y36" s="30"/>
      <c r="Z36" s="66"/>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row>
    <row r="37" spans="1:232" s="40" customFormat="1" ht="12.75">
      <c r="A37" s="25">
        <v>10</v>
      </c>
      <c r="B37" s="346" t="s">
        <v>381</v>
      </c>
      <c r="C37" s="26" t="s">
        <v>97</v>
      </c>
      <c r="D37" s="26"/>
      <c r="E37" s="75"/>
      <c r="F37" s="356"/>
      <c r="G37" s="436">
        <f>G36</f>
        <v>3000</v>
      </c>
      <c r="H37" s="436">
        <f t="shared" si="4"/>
        <v>3000</v>
      </c>
      <c r="I37" s="30"/>
      <c r="J37" s="30"/>
      <c r="K37" s="30"/>
      <c r="L37" s="436"/>
      <c r="M37" s="436"/>
      <c r="N37" s="30">
        <f t="shared" si="5"/>
        <v>2500</v>
      </c>
      <c r="O37" s="436">
        <f t="shared" si="6"/>
        <v>2500</v>
      </c>
      <c r="P37" s="436">
        <v>500</v>
      </c>
      <c r="Q37" s="30"/>
      <c r="R37" s="30"/>
      <c r="S37" s="30"/>
      <c r="T37" s="30">
        <v>0</v>
      </c>
      <c r="U37" s="30">
        <v>0</v>
      </c>
      <c r="V37" s="30"/>
      <c r="W37" s="30">
        <f t="shared" si="7"/>
        <v>0</v>
      </c>
      <c r="X37" s="30"/>
      <c r="Y37" s="30"/>
      <c r="Z37" s="66"/>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row>
    <row r="38" spans="1:232" s="40" customFormat="1" ht="12.75">
      <c r="A38" s="25">
        <v>11</v>
      </c>
      <c r="B38" s="346" t="s">
        <v>382</v>
      </c>
      <c r="C38" s="26" t="s">
        <v>97</v>
      </c>
      <c r="D38" s="26"/>
      <c r="E38" s="75"/>
      <c r="F38" s="356"/>
      <c r="G38" s="436">
        <f>G37</f>
        <v>3000</v>
      </c>
      <c r="H38" s="436">
        <f t="shared" si="4"/>
        <v>3000</v>
      </c>
      <c r="I38" s="30"/>
      <c r="J38" s="30"/>
      <c r="K38" s="30"/>
      <c r="L38" s="436"/>
      <c r="M38" s="436"/>
      <c r="N38" s="30">
        <f t="shared" si="5"/>
        <v>2500</v>
      </c>
      <c r="O38" s="436">
        <f t="shared" si="6"/>
        <v>2500</v>
      </c>
      <c r="P38" s="436">
        <v>500</v>
      </c>
      <c r="Q38" s="30"/>
      <c r="R38" s="30"/>
      <c r="S38" s="30"/>
      <c r="T38" s="30">
        <v>0</v>
      </c>
      <c r="U38" s="30">
        <v>0</v>
      </c>
      <c r="V38" s="30"/>
      <c r="W38" s="30">
        <f t="shared" si="7"/>
        <v>0</v>
      </c>
      <c r="X38" s="30"/>
      <c r="Y38" s="30"/>
      <c r="Z38" s="66"/>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row>
    <row r="39" spans="1:232" s="40" customFormat="1" ht="12.75">
      <c r="A39" s="25">
        <v>12</v>
      </c>
      <c r="B39" s="346" t="s">
        <v>383</v>
      </c>
      <c r="C39" s="26" t="s">
        <v>97</v>
      </c>
      <c r="D39" s="26"/>
      <c r="E39" s="75"/>
      <c r="F39" s="356"/>
      <c r="G39" s="436">
        <f>G38</f>
        <v>3000</v>
      </c>
      <c r="H39" s="436">
        <f t="shared" si="4"/>
        <v>3000</v>
      </c>
      <c r="I39" s="30"/>
      <c r="J39" s="30"/>
      <c r="K39" s="30"/>
      <c r="L39" s="436"/>
      <c r="M39" s="436"/>
      <c r="N39" s="30">
        <f t="shared" si="5"/>
        <v>2500</v>
      </c>
      <c r="O39" s="436">
        <f t="shared" si="6"/>
        <v>2500</v>
      </c>
      <c r="P39" s="436">
        <v>500</v>
      </c>
      <c r="Q39" s="30"/>
      <c r="R39" s="30"/>
      <c r="S39" s="30"/>
      <c r="T39" s="30">
        <v>0</v>
      </c>
      <c r="U39" s="30">
        <v>0</v>
      </c>
      <c r="V39" s="30"/>
      <c r="W39" s="30">
        <f t="shared" si="7"/>
        <v>0</v>
      </c>
      <c r="X39" s="30"/>
      <c r="Y39" s="30"/>
      <c r="Z39" s="66"/>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row>
    <row r="40" spans="1:232" s="40" customFormat="1" ht="12.75">
      <c r="A40" s="25">
        <v>13</v>
      </c>
      <c r="B40" s="346" t="s">
        <v>384</v>
      </c>
      <c r="C40" s="26" t="s">
        <v>97</v>
      </c>
      <c r="D40" s="26"/>
      <c r="E40" s="75"/>
      <c r="F40" s="356"/>
      <c r="G40" s="436">
        <f>G39</f>
        <v>3000</v>
      </c>
      <c r="H40" s="436">
        <f t="shared" si="4"/>
        <v>3000</v>
      </c>
      <c r="I40" s="30"/>
      <c r="J40" s="30"/>
      <c r="K40" s="30"/>
      <c r="L40" s="436"/>
      <c r="M40" s="436"/>
      <c r="N40" s="30">
        <f t="shared" si="5"/>
        <v>2500</v>
      </c>
      <c r="O40" s="436">
        <f t="shared" si="6"/>
        <v>2500</v>
      </c>
      <c r="P40" s="436">
        <v>500</v>
      </c>
      <c r="Q40" s="30"/>
      <c r="R40" s="30"/>
      <c r="S40" s="30"/>
      <c r="T40" s="30">
        <v>0</v>
      </c>
      <c r="U40" s="30">
        <v>0</v>
      </c>
      <c r="V40" s="30"/>
      <c r="W40" s="30">
        <f t="shared" si="7"/>
        <v>0</v>
      </c>
      <c r="X40" s="30"/>
      <c r="Y40" s="30"/>
      <c r="Z40" s="66"/>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row>
    <row r="41" spans="1:232" s="40" customFormat="1" ht="12.75">
      <c r="A41" s="25">
        <v>14</v>
      </c>
      <c r="B41" s="346" t="s">
        <v>385</v>
      </c>
      <c r="C41" s="26" t="s">
        <v>6</v>
      </c>
      <c r="D41" s="26"/>
      <c r="E41" s="75"/>
      <c r="F41" s="356"/>
      <c r="G41" s="436">
        <f>G39</f>
        <v>3000</v>
      </c>
      <c r="H41" s="436">
        <f t="shared" si="4"/>
        <v>3000</v>
      </c>
      <c r="I41" s="30"/>
      <c r="J41" s="30"/>
      <c r="K41" s="30"/>
      <c r="L41" s="436"/>
      <c r="M41" s="436"/>
      <c r="N41" s="30">
        <f t="shared" si="5"/>
        <v>2500</v>
      </c>
      <c r="O41" s="436">
        <f t="shared" si="6"/>
        <v>2500</v>
      </c>
      <c r="P41" s="436">
        <v>500</v>
      </c>
      <c r="Q41" s="30"/>
      <c r="R41" s="30"/>
      <c r="S41" s="30"/>
      <c r="T41" s="30">
        <v>0</v>
      </c>
      <c r="U41" s="30">
        <v>0</v>
      </c>
      <c r="V41" s="30"/>
      <c r="W41" s="30">
        <f t="shared" si="7"/>
        <v>0</v>
      </c>
      <c r="X41" s="30"/>
      <c r="Y41" s="30"/>
      <c r="Z41" s="66"/>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row>
    <row r="42" spans="1:232" s="40" customFormat="1" ht="12.75">
      <c r="A42" s="25">
        <v>15</v>
      </c>
      <c r="B42" s="346" t="s">
        <v>386</v>
      </c>
      <c r="C42" s="26" t="s">
        <v>6</v>
      </c>
      <c r="D42" s="26"/>
      <c r="E42" s="75"/>
      <c r="F42" s="356"/>
      <c r="G42" s="436">
        <v>3500</v>
      </c>
      <c r="H42" s="436">
        <f t="shared" si="4"/>
        <v>3500</v>
      </c>
      <c r="I42" s="30"/>
      <c r="J42" s="30"/>
      <c r="K42" s="30"/>
      <c r="L42" s="436"/>
      <c r="M42" s="436"/>
      <c r="N42" s="30">
        <f t="shared" si="5"/>
        <v>2500</v>
      </c>
      <c r="O42" s="436">
        <f t="shared" si="6"/>
        <v>2500</v>
      </c>
      <c r="P42" s="436">
        <v>500</v>
      </c>
      <c r="Q42" s="30"/>
      <c r="R42" s="30"/>
      <c r="S42" s="30"/>
      <c r="T42" s="414">
        <v>500</v>
      </c>
      <c r="U42" s="24">
        <f>T42</f>
        <v>500</v>
      </c>
      <c r="V42" s="30"/>
      <c r="W42" s="30">
        <f t="shared" si="7"/>
        <v>500</v>
      </c>
      <c r="X42" s="30"/>
      <c r="Y42" s="30"/>
      <c r="Z42" s="66"/>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row>
    <row r="43" spans="1:232" s="40" customFormat="1" ht="12.75">
      <c r="A43" s="25">
        <v>16</v>
      </c>
      <c r="B43" s="346" t="s">
        <v>387</v>
      </c>
      <c r="C43" s="26" t="s">
        <v>6</v>
      </c>
      <c r="D43" s="26"/>
      <c r="E43" s="75"/>
      <c r="F43" s="356"/>
      <c r="G43" s="436">
        <f>G41</f>
        <v>3000</v>
      </c>
      <c r="H43" s="436">
        <f t="shared" si="4"/>
        <v>3000</v>
      </c>
      <c r="I43" s="30"/>
      <c r="J43" s="30"/>
      <c r="K43" s="30"/>
      <c r="L43" s="436"/>
      <c r="M43" s="436"/>
      <c r="N43" s="30">
        <f t="shared" si="5"/>
        <v>2500</v>
      </c>
      <c r="O43" s="436">
        <f t="shared" si="6"/>
        <v>2500</v>
      </c>
      <c r="P43" s="436">
        <v>500</v>
      </c>
      <c r="Q43" s="30"/>
      <c r="R43" s="30"/>
      <c r="S43" s="30"/>
      <c r="T43" s="30">
        <v>0</v>
      </c>
      <c r="U43" s="30">
        <v>0</v>
      </c>
      <c r="V43" s="30"/>
      <c r="W43" s="30">
        <f t="shared" si="7"/>
        <v>0</v>
      </c>
      <c r="X43" s="30"/>
      <c r="Y43" s="30"/>
      <c r="Z43" s="66"/>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row>
    <row r="44" spans="1:232" s="40" customFormat="1" ht="12.75">
      <c r="A44" s="25">
        <v>17</v>
      </c>
      <c r="B44" s="346" t="s">
        <v>388</v>
      </c>
      <c r="C44" s="26" t="s">
        <v>6</v>
      </c>
      <c r="D44" s="26"/>
      <c r="E44" s="75"/>
      <c r="F44" s="356"/>
      <c r="G44" s="436">
        <f>G43</f>
        <v>3000</v>
      </c>
      <c r="H44" s="436">
        <f t="shared" si="4"/>
        <v>3000</v>
      </c>
      <c r="I44" s="30"/>
      <c r="J44" s="30"/>
      <c r="K44" s="30"/>
      <c r="L44" s="436"/>
      <c r="M44" s="436"/>
      <c r="N44" s="30">
        <f t="shared" si="5"/>
        <v>2500</v>
      </c>
      <c r="O44" s="436">
        <f t="shared" si="6"/>
        <v>2500</v>
      </c>
      <c r="P44" s="436">
        <v>500</v>
      </c>
      <c r="Q44" s="30"/>
      <c r="R44" s="30"/>
      <c r="S44" s="30"/>
      <c r="T44" s="30">
        <v>0</v>
      </c>
      <c r="U44" s="30">
        <v>0</v>
      </c>
      <c r="V44" s="30"/>
      <c r="W44" s="30">
        <f t="shared" si="7"/>
        <v>0</v>
      </c>
      <c r="X44" s="30"/>
      <c r="Y44" s="30"/>
      <c r="Z44" s="66"/>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row>
    <row r="45" spans="1:26" s="41" customFormat="1" ht="12.75">
      <c r="A45" s="208">
        <v>18</v>
      </c>
      <c r="B45" s="346" t="s">
        <v>389</v>
      </c>
      <c r="C45" s="54" t="s">
        <v>6</v>
      </c>
      <c r="D45" s="54"/>
      <c r="E45" s="296"/>
      <c r="F45" s="54"/>
      <c r="G45" s="488">
        <f>G42</f>
        <v>3500</v>
      </c>
      <c r="H45" s="414">
        <f t="shared" si="4"/>
        <v>3500</v>
      </c>
      <c r="I45" s="296"/>
      <c r="J45" s="296"/>
      <c r="K45" s="296"/>
      <c r="L45" s="489"/>
      <c r="M45" s="296"/>
      <c r="N45" s="414">
        <f t="shared" si="5"/>
        <v>2500</v>
      </c>
      <c r="O45" s="489">
        <f t="shared" si="6"/>
        <v>2500</v>
      </c>
      <c r="P45" s="296">
        <v>500</v>
      </c>
      <c r="Q45" s="489"/>
      <c r="R45" s="296"/>
      <c r="S45" s="296"/>
      <c r="T45" s="414">
        <v>500</v>
      </c>
      <c r="U45" s="24">
        <f>T45</f>
        <v>500</v>
      </c>
      <c r="V45" s="24"/>
      <c r="W45" s="89"/>
      <c r="X45" s="24"/>
      <c r="Y45" s="24"/>
      <c r="Z45" s="66"/>
    </row>
    <row r="46" spans="1:25" s="41" customFormat="1" ht="12.75">
      <c r="A46" s="49"/>
      <c r="B46" s="50"/>
      <c r="C46" s="51"/>
      <c r="D46" s="52"/>
      <c r="E46" s="52"/>
      <c r="F46" s="52"/>
      <c r="T46" s="53"/>
      <c r="U46" s="53"/>
      <c r="V46" s="53"/>
      <c r="W46" s="53"/>
      <c r="X46" s="53"/>
      <c r="Y46" s="51"/>
    </row>
    <row r="47" spans="1:25" s="41" customFormat="1" ht="12.75">
      <c r="A47" s="49"/>
      <c r="B47" s="50"/>
      <c r="C47" s="51"/>
      <c r="D47" s="52"/>
      <c r="E47" s="52"/>
      <c r="F47" s="52"/>
      <c r="T47" s="53"/>
      <c r="U47" s="53"/>
      <c r="V47" s="53"/>
      <c r="W47" s="53"/>
      <c r="X47" s="53"/>
      <c r="Y47" s="51"/>
    </row>
    <row r="48" spans="1:25" s="41" customFormat="1" ht="12.75">
      <c r="A48" s="49"/>
      <c r="B48" s="50"/>
      <c r="C48" s="51"/>
      <c r="D48" s="52"/>
      <c r="E48" s="52"/>
      <c r="F48" s="52"/>
      <c r="T48" s="53"/>
      <c r="U48" s="53"/>
      <c r="V48" s="53"/>
      <c r="W48" s="53"/>
      <c r="X48" s="53"/>
      <c r="Y48" s="51"/>
    </row>
    <row r="49" spans="1:25" s="41" customFormat="1" ht="12.75">
      <c r="A49" s="49"/>
      <c r="B49" s="50"/>
      <c r="C49" s="51"/>
      <c r="D49" s="52"/>
      <c r="E49" s="52"/>
      <c r="F49" s="52"/>
      <c r="T49" s="53"/>
      <c r="U49" s="53"/>
      <c r="V49" s="53"/>
      <c r="W49" s="53"/>
      <c r="X49" s="53"/>
      <c r="Y49" s="51"/>
    </row>
    <row r="50" spans="1:25" s="41" customFormat="1" ht="12.75">
      <c r="A50" s="49"/>
      <c r="B50" s="50"/>
      <c r="C50" s="51"/>
      <c r="D50" s="52"/>
      <c r="E50" s="52"/>
      <c r="F50" s="52"/>
      <c r="T50" s="53"/>
      <c r="U50" s="53"/>
      <c r="V50" s="53"/>
      <c r="W50" s="53"/>
      <c r="X50" s="53"/>
      <c r="Y50" s="51"/>
    </row>
    <row r="51" spans="1:25" s="41" customFormat="1" ht="12.75">
      <c r="A51" s="49"/>
      <c r="B51" s="50"/>
      <c r="C51" s="51"/>
      <c r="D51" s="52"/>
      <c r="E51" s="52"/>
      <c r="F51" s="52"/>
      <c r="T51" s="53"/>
      <c r="U51" s="53"/>
      <c r="V51" s="53"/>
      <c r="W51" s="53"/>
      <c r="X51" s="53"/>
      <c r="Y51" s="51"/>
    </row>
    <row r="52" spans="1:25" s="41" customFormat="1" ht="12.75">
      <c r="A52" s="49"/>
      <c r="B52" s="50"/>
      <c r="C52" s="51"/>
      <c r="D52" s="52"/>
      <c r="E52" s="52"/>
      <c r="F52" s="52"/>
      <c r="T52" s="53"/>
      <c r="U52" s="53"/>
      <c r="V52" s="53"/>
      <c r="W52" s="53"/>
      <c r="X52" s="53"/>
      <c r="Y52" s="51"/>
    </row>
    <row r="53" spans="1:25" s="41" customFormat="1" ht="12.75">
      <c r="A53" s="49"/>
      <c r="B53" s="50"/>
      <c r="C53" s="51"/>
      <c r="D53" s="52"/>
      <c r="E53" s="52"/>
      <c r="F53" s="52"/>
      <c r="T53" s="53"/>
      <c r="U53" s="53"/>
      <c r="V53" s="53"/>
      <c r="W53" s="53"/>
      <c r="X53" s="53"/>
      <c r="Y53" s="51"/>
    </row>
    <row r="54" spans="1:25" s="41" customFormat="1" ht="12.75">
      <c r="A54" s="49"/>
      <c r="B54" s="50"/>
      <c r="C54" s="51"/>
      <c r="D54" s="52"/>
      <c r="E54" s="52"/>
      <c r="F54" s="52"/>
      <c r="T54" s="53"/>
      <c r="U54" s="53"/>
      <c r="V54" s="53"/>
      <c r="W54" s="53"/>
      <c r="X54" s="53"/>
      <c r="Y54" s="51"/>
    </row>
    <row r="55" spans="1:25" s="41" customFormat="1" ht="12.75">
      <c r="A55" s="49"/>
      <c r="B55" s="50"/>
      <c r="C55" s="51"/>
      <c r="D55" s="52"/>
      <c r="E55" s="52"/>
      <c r="F55" s="52"/>
      <c r="T55" s="53"/>
      <c r="U55" s="53"/>
      <c r="V55" s="53"/>
      <c r="W55" s="53"/>
      <c r="X55" s="53"/>
      <c r="Y55" s="51"/>
    </row>
    <row r="56" spans="1:25" s="41" customFormat="1" ht="12.75">
      <c r="A56" s="49"/>
      <c r="B56" s="50"/>
      <c r="C56" s="51"/>
      <c r="D56" s="52"/>
      <c r="E56" s="52"/>
      <c r="F56" s="52"/>
      <c r="T56" s="53"/>
      <c r="U56" s="53"/>
      <c r="V56" s="53"/>
      <c r="W56" s="53"/>
      <c r="X56" s="53"/>
      <c r="Y56" s="51"/>
    </row>
    <row r="57" spans="1:25" s="41" customFormat="1" ht="12.75">
      <c r="A57" s="49"/>
      <c r="B57" s="50"/>
      <c r="C57" s="51"/>
      <c r="D57" s="52"/>
      <c r="E57" s="52"/>
      <c r="F57" s="52"/>
      <c r="T57" s="53"/>
      <c r="U57" s="53"/>
      <c r="V57" s="53"/>
      <c r="W57" s="53"/>
      <c r="X57" s="53"/>
      <c r="Y57" s="51"/>
    </row>
    <row r="58" spans="1:25" s="41" customFormat="1" ht="12.75">
      <c r="A58" s="49"/>
      <c r="B58" s="50"/>
      <c r="C58" s="51"/>
      <c r="D58" s="52"/>
      <c r="E58" s="52"/>
      <c r="F58" s="52"/>
      <c r="T58" s="53"/>
      <c r="U58" s="53"/>
      <c r="V58" s="53"/>
      <c r="W58" s="53"/>
      <c r="X58" s="53"/>
      <c r="Y58" s="51"/>
    </row>
    <row r="59" spans="1:25" s="41" customFormat="1" ht="12.75">
      <c r="A59" s="49"/>
      <c r="B59" s="50"/>
      <c r="C59" s="51"/>
      <c r="D59" s="52"/>
      <c r="E59" s="52"/>
      <c r="F59" s="52"/>
      <c r="T59" s="53"/>
      <c r="U59" s="53"/>
      <c r="V59" s="53"/>
      <c r="W59" s="53"/>
      <c r="X59" s="53"/>
      <c r="Y59" s="51"/>
    </row>
    <row r="60" spans="1:25" s="41" customFormat="1" ht="12.75">
      <c r="A60" s="49"/>
      <c r="B60" s="50"/>
      <c r="C60" s="51"/>
      <c r="D60" s="52"/>
      <c r="E60" s="52"/>
      <c r="F60" s="52"/>
      <c r="T60" s="53"/>
      <c r="U60" s="53"/>
      <c r="V60" s="53"/>
      <c r="W60" s="53"/>
      <c r="X60" s="53"/>
      <c r="Y60" s="51"/>
    </row>
    <row r="61" spans="1:25" s="41" customFormat="1" ht="12.75">
      <c r="A61" s="49"/>
      <c r="B61" s="50"/>
      <c r="C61" s="51"/>
      <c r="D61" s="52"/>
      <c r="E61" s="52"/>
      <c r="F61" s="52"/>
      <c r="T61" s="53"/>
      <c r="U61" s="53"/>
      <c r="V61" s="53"/>
      <c r="W61" s="53"/>
      <c r="X61" s="53"/>
      <c r="Y61" s="51"/>
    </row>
    <row r="62" spans="1:25" s="41" customFormat="1" ht="12.75">
      <c r="A62" s="49"/>
      <c r="B62" s="50"/>
      <c r="C62" s="51"/>
      <c r="D62" s="52"/>
      <c r="E62" s="52"/>
      <c r="F62" s="52"/>
      <c r="T62" s="53"/>
      <c r="U62" s="53"/>
      <c r="V62" s="53"/>
      <c r="W62" s="53"/>
      <c r="X62" s="53"/>
      <c r="Y62" s="51"/>
    </row>
    <row r="63" spans="1:25" s="41" customFormat="1" ht="12.75">
      <c r="A63" s="49"/>
      <c r="B63" s="50"/>
      <c r="C63" s="51"/>
      <c r="D63" s="52"/>
      <c r="E63" s="52"/>
      <c r="F63" s="52"/>
      <c r="T63" s="53"/>
      <c r="U63" s="53"/>
      <c r="V63" s="53"/>
      <c r="W63" s="53"/>
      <c r="X63" s="53"/>
      <c r="Y63" s="51"/>
    </row>
    <row r="64" spans="1:25" s="41" customFormat="1" ht="12.75">
      <c r="A64" s="49"/>
      <c r="B64" s="50"/>
      <c r="C64" s="51"/>
      <c r="D64" s="52"/>
      <c r="E64" s="52"/>
      <c r="F64" s="52"/>
      <c r="T64" s="53"/>
      <c r="U64" s="53"/>
      <c r="V64" s="53"/>
      <c r="W64" s="53"/>
      <c r="X64" s="53"/>
      <c r="Y64" s="51"/>
    </row>
    <row r="65" spans="1:25" s="41" customFormat="1" ht="12.75">
      <c r="A65" s="49"/>
      <c r="B65" s="50"/>
      <c r="C65" s="51"/>
      <c r="D65" s="52"/>
      <c r="E65" s="52"/>
      <c r="F65" s="52"/>
      <c r="T65" s="53"/>
      <c r="U65" s="53"/>
      <c r="V65" s="53"/>
      <c r="W65" s="53"/>
      <c r="X65" s="53"/>
      <c r="Y65" s="51"/>
    </row>
    <row r="66" spans="1:25" s="41" customFormat="1" ht="12.75">
      <c r="A66" s="49"/>
      <c r="B66" s="50"/>
      <c r="C66" s="51"/>
      <c r="D66" s="52"/>
      <c r="E66" s="52"/>
      <c r="F66" s="52"/>
      <c r="T66" s="53"/>
      <c r="U66" s="53"/>
      <c r="V66" s="53"/>
      <c r="W66" s="53"/>
      <c r="X66" s="53"/>
      <c r="Y66" s="51"/>
    </row>
    <row r="67" spans="1:25" s="41" customFormat="1" ht="12.75">
      <c r="A67" s="49"/>
      <c r="B67" s="50"/>
      <c r="C67" s="51"/>
      <c r="D67" s="52"/>
      <c r="E67" s="52"/>
      <c r="F67" s="52"/>
      <c r="T67" s="53"/>
      <c r="U67" s="53"/>
      <c r="V67" s="53"/>
      <c r="W67" s="53"/>
      <c r="X67" s="53"/>
      <c r="Y67" s="51"/>
    </row>
    <row r="68" spans="1:25" s="41" customFormat="1" ht="12.75">
      <c r="A68" s="49"/>
      <c r="B68" s="50"/>
      <c r="C68" s="51"/>
      <c r="D68" s="52"/>
      <c r="E68" s="52"/>
      <c r="F68" s="52"/>
      <c r="T68" s="53"/>
      <c r="U68" s="53"/>
      <c r="V68" s="53"/>
      <c r="W68" s="53"/>
      <c r="X68" s="53"/>
      <c r="Y68" s="51"/>
    </row>
    <row r="69" spans="1:25" s="41" customFormat="1" ht="12.75">
      <c r="A69" s="49"/>
      <c r="B69" s="50"/>
      <c r="C69" s="51"/>
      <c r="D69" s="52"/>
      <c r="E69" s="52"/>
      <c r="F69" s="52"/>
      <c r="T69" s="53"/>
      <c r="U69" s="53"/>
      <c r="V69" s="53"/>
      <c r="W69" s="53"/>
      <c r="X69" s="53"/>
      <c r="Y69" s="51"/>
    </row>
    <row r="70" spans="1:25" s="41" customFormat="1" ht="12.75">
      <c r="A70" s="49"/>
      <c r="B70" s="50"/>
      <c r="C70" s="51"/>
      <c r="D70" s="52"/>
      <c r="E70" s="52"/>
      <c r="F70" s="52"/>
      <c r="T70" s="53"/>
      <c r="U70" s="53"/>
      <c r="V70" s="53"/>
      <c r="W70" s="53"/>
      <c r="X70" s="53"/>
      <c r="Y70" s="51"/>
    </row>
    <row r="71" spans="1:25" s="41" customFormat="1" ht="12.75">
      <c r="A71" s="49"/>
      <c r="B71" s="50"/>
      <c r="C71" s="51"/>
      <c r="D71" s="52"/>
      <c r="E71" s="52"/>
      <c r="F71" s="52"/>
      <c r="T71" s="53"/>
      <c r="U71" s="53"/>
      <c r="V71" s="53"/>
      <c r="W71" s="53"/>
      <c r="X71" s="53"/>
      <c r="Y71" s="51"/>
    </row>
    <row r="72" spans="1:25" s="41" customFormat="1" ht="12.75">
      <c r="A72" s="49"/>
      <c r="B72" s="50"/>
      <c r="C72" s="51"/>
      <c r="D72" s="52"/>
      <c r="E72" s="52"/>
      <c r="F72" s="52"/>
      <c r="T72" s="53"/>
      <c r="U72" s="53"/>
      <c r="V72" s="53"/>
      <c r="W72" s="53"/>
      <c r="X72" s="53"/>
      <c r="Y72" s="51"/>
    </row>
    <row r="73" spans="1:25" s="41" customFormat="1" ht="12.75">
      <c r="A73" s="49"/>
      <c r="B73" s="50"/>
      <c r="C73" s="51"/>
      <c r="D73" s="52"/>
      <c r="E73" s="52"/>
      <c r="F73" s="52"/>
      <c r="T73" s="53"/>
      <c r="U73" s="53"/>
      <c r="V73" s="53"/>
      <c r="W73" s="53"/>
      <c r="X73" s="53"/>
      <c r="Y73" s="51"/>
    </row>
    <row r="74" spans="1:25" s="41" customFormat="1" ht="12.75">
      <c r="A74" s="49"/>
      <c r="B74" s="50"/>
      <c r="C74" s="51"/>
      <c r="D74" s="52"/>
      <c r="E74" s="52"/>
      <c r="F74" s="52"/>
      <c r="T74" s="53"/>
      <c r="U74" s="53"/>
      <c r="V74" s="53"/>
      <c r="W74" s="53"/>
      <c r="X74" s="53"/>
      <c r="Y74" s="51"/>
    </row>
    <row r="75" spans="1:25" s="41" customFormat="1" ht="12.75">
      <c r="A75" s="49"/>
      <c r="B75" s="50"/>
      <c r="C75" s="51"/>
      <c r="D75" s="52"/>
      <c r="E75" s="52"/>
      <c r="F75" s="52"/>
      <c r="T75" s="53"/>
      <c r="U75" s="53"/>
      <c r="V75" s="53"/>
      <c r="W75" s="53"/>
      <c r="X75" s="53"/>
      <c r="Y75" s="51"/>
    </row>
    <row r="76" spans="1:25" s="41" customFormat="1" ht="12.75">
      <c r="A76" s="49"/>
      <c r="B76" s="50"/>
      <c r="C76" s="51"/>
      <c r="D76" s="52"/>
      <c r="E76" s="52"/>
      <c r="F76" s="52"/>
      <c r="T76" s="53"/>
      <c r="U76" s="53"/>
      <c r="V76" s="53"/>
      <c r="W76" s="53"/>
      <c r="X76" s="53"/>
      <c r="Y76" s="51"/>
    </row>
    <row r="77" spans="1:25" s="41" customFormat="1" ht="12.75">
      <c r="A77" s="49"/>
      <c r="B77" s="50"/>
      <c r="C77" s="51"/>
      <c r="D77" s="52"/>
      <c r="E77" s="52"/>
      <c r="F77" s="52"/>
      <c r="T77" s="53"/>
      <c r="U77" s="53"/>
      <c r="V77" s="53"/>
      <c r="W77" s="53"/>
      <c r="X77" s="53"/>
      <c r="Y77" s="51"/>
    </row>
    <row r="78" spans="1:25" s="41" customFormat="1" ht="12.75">
      <c r="A78" s="49"/>
      <c r="B78" s="50"/>
      <c r="C78" s="51"/>
      <c r="D78" s="52"/>
      <c r="E78" s="52"/>
      <c r="F78" s="52"/>
      <c r="T78" s="53"/>
      <c r="U78" s="53"/>
      <c r="V78" s="53"/>
      <c r="W78" s="53"/>
      <c r="X78" s="53"/>
      <c r="Y78" s="51"/>
    </row>
    <row r="79" spans="1:25" s="41" customFormat="1" ht="12.75">
      <c r="A79" s="49"/>
      <c r="B79" s="50"/>
      <c r="C79" s="51"/>
      <c r="D79" s="52"/>
      <c r="E79" s="52"/>
      <c r="F79" s="52"/>
      <c r="T79" s="53"/>
      <c r="U79" s="53"/>
      <c r="V79" s="53"/>
      <c r="W79" s="53"/>
      <c r="X79" s="53"/>
      <c r="Y79" s="51"/>
    </row>
    <row r="80" spans="1:25" s="41" customFormat="1" ht="12.75">
      <c r="A80" s="49"/>
      <c r="B80" s="50"/>
      <c r="C80" s="51"/>
      <c r="D80" s="52"/>
      <c r="E80" s="52"/>
      <c r="F80" s="52"/>
      <c r="T80" s="53"/>
      <c r="U80" s="53"/>
      <c r="V80" s="53"/>
      <c r="W80" s="53"/>
      <c r="X80" s="53"/>
      <c r="Y80" s="51"/>
    </row>
    <row r="81" spans="1:25" s="41" customFormat="1" ht="12.75">
      <c r="A81" s="49"/>
      <c r="B81" s="50"/>
      <c r="C81" s="51"/>
      <c r="D81" s="52"/>
      <c r="E81" s="52"/>
      <c r="F81" s="52"/>
      <c r="T81" s="53"/>
      <c r="U81" s="53"/>
      <c r="V81" s="53"/>
      <c r="W81" s="53"/>
      <c r="X81" s="53"/>
      <c r="Y81" s="51"/>
    </row>
    <row r="82" spans="1:25" s="41" customFormat="1" ht="12.75">
      <c r="A82" s="49"/>
      <c r="B82" s="50"/>
      <c r="C82" s="51"/>
      <c r="D82" s="52"/>
      <c r="E82" s="52"/>
      <c r="F82" s="52"/>
      <c r="T82" s="53"/>
      <c r="U82" s="53"/>
      <c r="V82" s="53"/>
      <c r="W82" s="53"/>
      <c r="X82" s="53"/>
      <c r="Y82" s="51"/>
    </row>
    <row r="83" spans="1:25" s="41" customFormat="1" ht="12.75">
      <c r="A83" s="49"/>
      <c r="B83" s="50"/>
      <c r="C83" s="51"/>
      <c r="D83" s="52"/>
      <c r="E83" s="52"/>
      <c r="F83" s="52"/>
      <c r="T83" s="53"/>
      <c r="U83" s="53"/>
      <c r="V83" s="53"/>
      <c r="W83" s="53"/>
      <c r="X83" s="53"/>
      <c r="Y83" s="51"/>
    </row>
    <row r="84" spans="1:25" s="41" customFormat="1" ht="12.75">
      <c r="A84" s="49"/>
      <c r="B84" s="50"/>
      <c r="C84" s="51"/>
      <c r="D84" s="52"/>
      <c r="E84" s="52"/>
      <c r="F84" s="52"/>
      <c r="T84" s="53"/>
      <c r="U84" s="53"/>
      <c r="V84" s="53"/>
      <c r="W84" s="53"/>
      <c r="X84" s="53"/>
      <c r="Y84" s="51"/>
    </row>
    <row r="85" spans="1:25" s="41" customFormat="1" ht="12.75">
      <c r="A85" s="49"/>
      <c r="B85" s="50"/>
      <c r="C85" s="51"/>
      <c r="D85" s="52"/>
      <c r="E85" s="52"/>
      <c r="F85" s="52"/>
      <c r="T85" s="53"/>
      <c r="U85" s="53"/>
      <c r="V85" s="53"/>
      <c r="W85" s="53"/>
      <c r="X85" s="53"/>
      <c r="Y85" s="51"/>
    </row>
    <row r="86" spans="1:25" s="41" customFormat="1" ht="12.75">
      <c r="A86" s="49"/>
      <c r="B86" s="50"/>
      <c r="C86" s="51"/>
      <c r="D86" s="52"/>
      <c r="E86" s="52"/>
      <c r="F86" s="52"/>
      <c r="T86" s="53"/>
      <c r="U86" s="53"/>
      <c r="V86" s="53"/>
      <c r="W86" s="53"/>
      <c r="X86" s="53"/>
      <c r="Y86" s="51"/>
    </row>
    <row r="87" spans="1:25" s="41" customFormat="1" ht="12.75">
      <c r="A87" s="49"/>
      <c r="B87" s="50"/>
      <c r="C87" s="51"/>
      <c r="D87" s="52"/>
      <c r="E87" s="52"/>
      <c r="F87" s="52"/>
      <c r="T87" s="53"/>
      <c r="U87" s="53"/>
      <c r="V87" s="53"/>
      <c r="W87" s="53"/>
      <c r="X87" s="53"/>
      <c r="Y87" s="51"/>
    </row>
    <row r="88" spans="1:25" s="41" customFormat="1" ht="12.75">
      <c r="A88" s="49"/>
      <c r="B88" s="50"/>
      <c r="C88" s="51"/>
      <c r="D88" s="52"/>
      <c r="E88" s="52"/>
      <c r="F88" s="52"/>
      <c r="T88" s="53"/>
      <c r="U88" s="53"/>
      <c r="V88" s="53"/>
      <c r="W88" s="53"/>
      <c r="X88" s="53"/>
      <c r="Y88" s="51"/>
    </row>
    <row r="89" spans="1:25" s="41" customFormat="1" ht="12.75">
      <c r="A89" s="49"/>
      <c r="B89" s="50"/>
      <c r="C89" s="51"/>
      <c r="D89" s="52"/>
      <c r="E89" s="52"/>
      <c r="F89" s="52"/>
      <c r="T89" s="53"/>
      <c r="U89" s="53"/>
      <c r="V89" s="53"/>
      <c r="W89" s="53"/>
      <c r="X89" s="53"/>
      <c r="Y89" s="51"/>
    </row>
    <row r="90" spans="1:25" s="41" customFormat="1" ht="12.75">
      <c r="A90" s="49"/>
      <c r="B90" s="50"/>
      <c r="C90" s="51"/>
      <c r="D90" s="52"/>
      <c r="E90" s="52"/>
      <c r="F90" s="52"/>
      <c r="T90" s="53"/>
      <c r="U90" s="53"/>
      <c r="V90" s="53"/>
      <c r="W90" s="53"/>
      <c r="X90" s="53"/>
      <c r="Y90" s="51"/>
    </row>
    <row r="91" spans="3:24" ht="12.75">
      <c r="C91" s="56"/>
      <c r="D91" s="57"/>
      <c r="E91" s="57"/>
      <c r="F91" s="57"/>
      <c r="I91" s="48"/>
      <c r="R91" s="48"/>
      <c r="S91" s="48"/>
      <c r="T91" s="53"/>
      <c r="V91" s="53"/>
      <c r="W91" s="53"/>
      <c r="X91" s="53"/>
    </row>
    <row r="92" spans="3:24" ht="12.75">
      <c r="C92" s="56"/>
      <c r="D92" s="57"/>
      <c r="E92" s="57"/>
      <c r="F92" s="57"/>
      <c r="I92" s="48"/>
      <c r="R92" s="48"/>
      <c r="S92" s="48"/>
      <c r="T92" s="53"/>
      <c r="V92" s="53"/>
      <c r="W92" s="53"/>
      <c r="X92" s="53"/>
    </row>
    <row r="93" spans="3:24" ht="12.75">
      <c r="C93" s="56"/>
      <c r="D93" s="57"/>
      <c r="E93" s="57"/>
      <c r="F93" s="57"/>
      <c r="I93" s="48"/>
      <c r="R93" s="48"/>
      <c r="S93" s="48"/>
      <c r="T93" s="53"/>
      <c r="V93" s="53"/>
      <c r="W93" s="53"/>
      <c r="X93" s="53"/>
    </row>
    <row r="94" spans="3:24" ht="12.75">
      <c r="C94" s="56"/>
      <c r="D94" s="57"/>
      <c r="E94" s="57"/>
      <c r="F94" s="57"/>
      <c r="I94" s="48"/>
      <c r="R94" s="48"/>
      <c r="S94" s="48"/>
      <c r="T94" s="53"/>
      <c r="V94" s="53"/>
      <c r="W94" s="53"/>
      <c r="X94" s="53"/>
    </row>
    <row r="95" spans="3:24" ht="12.75">
      <c r="C95" s="56"/>
      <c r="D95" s="57"/>
      <c r="E95" s="57"/>
      <c r="F95" s="57"/>
      <c r="I95" s="48"/>
      <c r="R95" s="48"/>
      <c r="S95" s="48"/>
      <c r="T95" s="53"/>
      <c r="V95" s="53"/>
      <c r="W95" s="53"/>
      <c r="X95" s="53"/>
    </row>
    <row r="96" spans="3:24" ht="12.75">
      <c r="C96" s="56"/>
      <c r="D96" s="57"/>
      <c r="E96" s="57"/>
      <c r="F96" s="57"/>
      <c r="I96" s="48"/>
      <c r="R96" s="48"/>
      <c r="S96" s="48"/>
      <c r="T96" s="53"/>
      <c r="V96" s="53"/>
      <c r="W96" s="53"/>
      <c r="X96" s="53"/>
    </row>
    <row r="97" spans="3:24" ht="12.75">
      <c r="C97" s="56"/>
      <c r="D97" s="57"/>
      <c r="E97" s="57"/>
      <c r="F97" s="57"/>
      <c r="I97" s="48"/>
      <c r="R97" s="48"/>
      <c r="S97" s="48"/>
      <c r="T97" s="53"/>
      <c r="V97" s="53"/>
      <c r="W97" s="53"/>
      <c r="X97" s="53"/>
    </row>
    <row r="98" spans="1:25" ht="12.75">
      <c r="A98" s="48"/>
      <c r="B98" s="48"/>
      <c r="C98" s="56"/>
      <c r="D98" s="57"/>
      <c r="E98" s="57"/>
      <c r="F98" s="57"/>
      <c r="I98" s="48"/>
      <c r="R98" s="48"/>
      <c r="S98" s="48"/>
      <c r="T98" s="53"/>
      <c r="V98" s="53"/>
      <c r="W98" s="53"/>
      <c r="X98" s="53"/>
      <c r="Y98" s="48"/>
    </row>
    <row r="99" spans="1:25" ht="12.75">
      <c r="A99" s="48"/>
      <c r="B99" s="48"/>
      <c r="C99" s="56"/>
      <c r="D99" s="57"/>
      <c r="E99" s="57"/>
      <c r="F99" s="57"/>
      <c r="I99" s="48"/>
      <c r="R99" s="48"/>
      <c r="S99" s="48"/>
      <c r="T99" s="53"/>
      <c r="V99" s="53"/>
      <c r="W99" s="53"/>
      <c r="X99" s="53"/>
      <c r="Y99" s="48"/>
    </row>
    <row r="100" spans="1:25" ht="12.75">
      <c r="A100" s="48"/>
      <c r="B100" s="48"/>
      <c r="C100" s="56"/>
      <c r="D100" s="57"/>
      <c r="E100" s="57"/>
      <c r="F100" s="57"/>
      <c r="I100" s="48"/>
      <c r="R100" s="48"/>
      <c r="S100" s="48"/>
      <c r="T100" s="53"/>
      <c r="V100" s="53"/>
      <c r="W100" s="53"/>
      <c r="X100" s="53"/>
      <c r="Y100" s="48"/>
    </row>
    <row r="101" spans="1:25" ht="12.75">
      <c r="A101" s="48"/>
      <c r="B101" s="48"/>
      <c r="C101" s="56"/>
      <c r="D101" s="57"/>
      <c r="E101" s="57"/>
      <c r="F101" s="57"/>
      <c r="I101" s="48"/>
      <c r="R101" s="48"/>
      <c r="S101" s="48"/>
      <c r="T101" s="53"/>
      <c r="V101" s="53"/>
      <c r="W101" s="53"/>
      <c r="X101" s="53"/>
      <c r="Y101" s="48"/>
    </row>
    <row r="102" spans="1:25" ht="12.75">
      <c r="A102" s="48"/>
      <c r="B102" s="48"/>
      <c r="C102" s="56"/>
      <c r="D102" s="57"/>
      <c r="E102" s="57"/>
      <c r="F102" s="57"/>
      <c r="I102" s="48"/>
      <c r="R102" s="48"/>
      <c r="S102" s="48"/>
      <c r="T102" s="53"/>
      <c r="V102" s="53"/>
      <c r="W102" s="53"/>
      <c r="X102" s="53"/>
      <c r="Y102" s="48"/>
    </row>
    <row r="103" spans="1:25" ht="12.75">
      <c r="A103" s="48"/>
      <c r="B103" s="48"/>
      <c r="C103" s="56"/>
      <c r="D103" s="57"/>
      <c r="E103" s="57"/>
      <c r="F103" s="57"/>
      <c r="I103" s="48"/>
      <c r="R103" s="48"/>
      <c r="S103" s="48"/>
      <c r="T103" s="53"/>
      <c r="V103" s="53"/>
      <c r="W103" s="53"/>
      <c r="X103" s="53"/>
      <c r="Y103" s="48"/>
    </row>
    <row r="104" spans="1:25" ht="12.75">
      <c r="A104" s="48"/>
      <c r="B104" s="48"/>
      <c r="C104" s="56"/>
      <c r="D104" s="57"/>
      <c r="E104" s="57"/>
      <c r="F104" s="57"/>
      <c r="I104" s="48"/>
      <c r="R104" s="48"/>
      <c r="S104" s="48"/>
      <c r="T104" s="53"/>
      <c r="V104" s="53"/>
      <c r="W104" s="53"/>
      <c r="X104" s="53"/>
      <c r="Y104" s="48"/>
    </row>
    <row r="105" spans="1:25" ht="12.75">
      <c r="A105" s="48"/>
      <c r="B105" s="48"/>
      <c r="C105" s="56"/>
      <c r="D105" s="57"/>
      <c r="E105" s="57"/>
      <c r="F105" s="57"/>
      <c r="I105" s="48"/>
      <c r="R105" s="48"/>
      <c r="S105" s="48"/>
      <c r="T105" s="53"/>
      <c r="V105" s="53"/>
      <c r="W105" s="53"/>
      <c r="X105" s="53"/>
      <c r="Y105" s="48"/>
    </row>
    <row r="106" spans="1:25" ht="12.75">
      <c r="A106" s="48"/>
      <c r="B106" s="48"/>
      <c r="C106" s="56"/>
      <c r="D106" s="57"/>
      <c r="E106" s="57"/>
      <c r="F106" s="57"/>
      <c r="I106" s="48"/>
      <c r="R106" s="48"/>
      <c r="S106" s="48"/>
      <c r="T106" s="53"/>
      <c r="V106" s="53"/>
      <c r="W106" s="53"/>
      <c r="X106" s="53"/>
      <c r="Y106" s="48"/>
    </row>
    <row r="107" spans="1:25" ht="12.75">
      <c r="A107" s="48"/>
      <c r="B107" s="48"/>
      <c r="C107" s="56"/>
      <c r="D107" s="57"/>
      <c r="E107" s="57"/>
      <c r="F107" s="57"/>
      <c r="I107" s="48"/>
      <c r="R107" s="48"/>
      <c r="S107" s="48"/>
      <c r="T107" s="53"/>
      <c r="V107" s="53"/>
      <c r="W107" s="53"/>
      <c r="X107" s="53"/>
      <c r="Y107" s="48"/>
    </row>
    <row r="108" spans="1:25" ht="12.75">
      <c r="A108" s="48"/>
      <c r="B108" s="48"/>
      <c r="C108" s="56"/>
      <c r="D108" s="57"/>
      <c r="E108" s="57"/>
      <c r="F108" s="57"/>
      <c r="I108" s="48"/>
      <c r="R108" s="48"/>
      <c r="S108" s="48"/>
      <c r="T108" s="53"/>
      <c r="V108" s="53"/>
      <c r="W108" s="53"/>
      <c r="X108" s="53"/>
      <c r="Y108" s="48"/>
    </row>
    <row r="109" spans="1:25" ht="12.75">
      <c r="A109" s="48"/>
      <c r="B109" s="48"/>
      <c r="C109" s="56"/>
      <c r="D109" s="57"/>
      <c r="E109" s="57"/>
      <c r="F109" s="57"/>
      <c r="I109" s="48"/>
      <c r="R109" s="48"/>
      <c r="S109" s="48"/>
      <c r="T109" s="53"/>
      <c r="V109" s="53"/>
      <c r="W109" s="53"/>
      <c r="X109" s="53"/>
      <c r="Y109" s="48"/>
    </row>
    <row r="110" spans="1:25" ht="12.75">
      <c r="A110" s="48"/>
      <c r="B110" s="48"/>
      <c r="C110" s="56"/>
      <c r="D110" s="57"/>
      <c r="E110" s="57"/>
      <c r="F110" s="57"/>
      <c r="I110" s="48"/>
      <c r="R110" s="48"/>
      <c r="S110" s="48"/>
      <c r="T110" s="53"/>
      <c r="V110" s="53"/>
      <c r="W110" s="53"/>
      <c r="X110" s="53"/>
      <c r="Y110" s="48"/>
    </row>
    <row r="111" spans="1:25" ht="12.75">
      <c r="A111" s="48"/>
      <c r="B111" s="48"/>
      <c r="C111" s="56"/>
      <c r="D111" s="57"/>
      <c r="E111" s="57"/>
      <c r="F111" s="57"/>
      <c r="I111" s="48"/>
      <c r="R111" s="48"/>
      <c r="S111" s="48"/>
      <c r="T111" s="53"/>
      <c r="V111" s="53"/>
      <c r="W111" s="53"/>
      <c r="X111" s="53"/>
      <c r="Y111" s="48"/>
    </row>
    <row r="112" spans="1:25" ht="12.75">
      <c r="A112" s="48"/>
      <c r="B112" s="48"/>
      <c r="C112" s="56"/>
      <c r="D112" s="57"/>
      <c r="E112" s="57"/>
      <c r="F112" s="57"/>
      <c r="I112" s="48"/>
      <c r="R112" s="48"/>
      <c r="S112" s="48"/>
      <c r="T112" s="53"/>
      <c r="V112" s="53"/>
      <c r="W112" s="53"/>
      <c r="X112" s="53"/>
      <c r="Y112" s="48"/>
    </row>
    <row r="113" spans="1:25" ht="12.75">
      <c r="A113" s="48"/>
      <c r="B113" s="48"/>
      <c r="C113" s="56"/>
      <c r="D113" s="57"/>
      <c r="E113" s="57"/>
      <c r="F113" s="57"/>
      <c r="I113" s="48"/>
      <c r="R113" s="48"/>
      <c r="S113" s="48"/>
      <c r="T113" s="53"/>
      <c r="V113" s="53"/>
      <c r="W113" s="53"/>
      <c r="X113" s="53"/>
      <c r="Y113" s="48"/>
    </row>
    <row r="114" spans="3:25" ht="12.75">
      <c r="C114" s="56"/>
      <c r="D114" s="57"/>
      <c r="E114" s="57"/>
      <c r="F114" s="57"/>
      <c r="I114" s="48"/>
      <c r="R114" s="48"/>
      <c r="S114" s="48"/>
      <c r="T114" s="53"/>
      <c r="V114" s="53"/>
      <c r="W114" s="53"/>
      <c r="X114" s="53"/>
      <c r="Y114" s="48"/>
    </row>
    <row r="115" spans="3:25" ht="12.75">
      <c r="C115" s="56"/>
      <c r="D115" s="57"/>
      <c r="E115" s="57"/>
      <c r="F115" s="57"/>
      <c r="I115" s="48"/>
      <c r="R115" s="48"/>
      <c r="S115" s="48"/>
      <c r="T115" s="53"/>
      <c r="V115" s="53"/>
      <c r="W115" s="53"/>
      <c r="X115" s="53"/>
      <c r="Y115" s="48"/>
    </row>
    <row r="116" spans="3:25" ht="12.75">
      <c r="C116" s="56"/>
      <c r="D116" s="57"/>
      <c r="E116" s="57"/>
      <c r="F116" s="57"/>
      <c r="I116" s="48"/>
      <c r="R116" s="48"/>
      <c r="S116" s="48"/>
      <c r="T116" s="53"/>
      <c r="V116" s="53"/>
      <c r="W116" s="53"/>
      <c r="X116" s="53"/>
      <c r="Y116" s="48"/>
    </row>
    <row r="117" spans="3:25" ht="12.75">
      <c r="C117" s="56"/>
      <c r="D117" s="57"/>
      <c r="E117" s="57"/>
      <c r="F117" s="57"/>
      <c r="I117" s="48"/>
      <c r="R117" s="48"/>
      <c r="S117" s="48"/>
      <c r="T117" s="53"/>
      <c r="V117" s="53"/>
      <c r="W117" s="53"/>
      <c r="X117" s="53"/>
      <c r="Y117" s="48"/>
    </row>
    <row r="118" spans="1:25" ht="12.75">
      <c r="A118" s="16"/>
      <c r="C118" s="56"/>
      <c r="D118" s="57"/>
      <c r="E118" s="57"/>
      <c r="F118" s="57"/>
      <c r="I118" s="48"/>
      <c r="R118" s="48"/>
      <c r="S118" s="48"/>
      <c r="T118" s="53"/>
      <c r="V118" s="53"/>
      <c r="W118" s="53"/>
      <c r="X118" s="53"/>
      <c r="Y118" s="48"/>
    </row>
    <row r="119" spans="1:25" ht="12.75">
      <c r="A119" s="16"/>
      <c r="C119" s="56"/>
      <c r="D119" s="57"/>
      <c r="E119" s="57"/>
      <c r="F119" s="57"/>
      <c r="I119" s="48"/>
      <c r="R119" s="48"/>
      <c r="S119" s="48"/>
      <c r="T119" s="53"/>
      <c r="V119" s="53"/>
      <c r="W119" s="53"/>
      <c r="X119" s="53"/>
      <c r="Y119" s="48"/>
    </row>
    <row r="120" spans="1:25" ht="12.75">
      <c r="A120" s="16"/>
      <c r="C120" s="56"/>
      <c r="D120" s="57"/>
      <c r="E120" s="57"/>
      <c r="F120" s="57"/>
      <c r="I120" s="48"/>
      <c r="R120" s="48"/>
      <c r="S120" s="48"/>
      <c r="T120" s="53"/>
      <c r="V120" s="53"/>
      <c r="W120" s="53"/>
      <c r="X120" s="53"/>
      <c r="Y120" s="48"/>
    </row>
    <row r="121" spans="1:25" ht="12.75">
      <c r="A121" s="16"/>
      <c r="C121" s="56"/>
      <c r="D121" s="57"/>
      <c r="E121" s="57"/>
      <c r="F121" s="57"/>
      <c r="I121" s="48"/>
      <c r="R121" s="48"/>
      <c r="S121" s="48"/>
      <c r="T121" s="53"/>
      <c r="V121" s="53"/>
      <c r="W121" s="53"/>
      <c r="X121" s="53"/>
      <c r="Y121" s="48"/>
    </row>
    <row r="122" spans="1:25" ht="12.75">
      <c r="A122" s="16"/>
      <c r="C122" s="56"/>
      <c r="D122" s="57"/>
      <c r="E122" s="57"/>
      <c r="F122" s="57"/>
      <c r="I122" s="48"/>
      <c r="R122" s="48"/>
      <c r="S122" s="48"/>
      <c r="T122" s="53"/>
      <c r="V122" s="53"/>
      <c r="W122" s="53"/>
      <c r="X122" s="53"/>
      <c r="Y122" s="48"/>
    </row>
    <row r="123" spans="1:25" ht="12.75">
      <c r="A123" s="16"/>
      <c r="C123" s="56"/>
      <c r="D123" s="57"/>
      <c r="E123" s="57"/>
      <c r="F123" s="57"/>
      <c r="I123" s="48"/>
      <c r="R123" s="48"/>
      <c r="S123" s="48"/>
      <c r="T123" s="53"/>
      <c r="V123" s="53"/>
      <c r="W123" s="53"/>
      <c r="X123" s="53"/>
      <c r="Y123" s="48"/>
    </row>
    <row r="124" spans="1:25" ht="12.75">
      <c r="A124" s="16"/>
      <c r="C124" s="56"/>
      <c r="D124" s="57"/>
      <c r="E124" s="57"/>
      <c r="F124" s="57"/>
      <c r="I124" s="48"/>
      <c r="R124" s="48"/>
      <c r="S124" s="48"/>
      <c r="T124" s="53"/>
      <c r="V124" s="53"/>
      <c r="W124" s="53"/>
      <c r="X124" s="53"/>
      <c r="Y124" s="48"/>
    </row>
    <row r="125" spans="1:25" ht="12.75">
      <c r="A125" s="16"/>
      <c r="C125" s="56"/>
      <c r="D125" s="57"/>
      <c r="E125" s="57"/>
      <c r="F125" s="57"/>
      <c r="I125" s="48"/>
      <c r="R125" s="48"/>
      <c r="S125" s="48"/>
      <c r="T125" s="53"/>
      <c r="V125" s="53"/>
      <c r="W125" s="53"/>
      <c r="X125" s="53"/>
      <c r="Y125" s="48"/>
    </row>
    <row r="126" spans="1:25" ht="12.75">
      <c r="A126" s="16"/>
      <c r="C126" s="56"/>
      <c r="D126" s="57"/>
      <c r="E126" s="57"/>
      <c r="F126" s="57"/>
      <c r="I126" s="48"/>
      <c r="R126" s="48"/>
      <c r="S126" s="48"/>
      <c r="T126" s="53"/>
      <c r="V126" s="53"/>
      <c r="W126" s="53"/>
      <c r="X126" s="53"/>
      <c r="Y126" s="48"/>
    </row>
    <row r="127" spans="1:25" ht="12.75">
      <c r="A127" s="16"/>
      <c r="C127" s="56"/>
      <c r="D127" s="57"/>
      <c r="E127" s="57"/>
      <c r="F127" s="57"/>
      <c r="I127" s="48"/>
      <c r="R127" s="48"/>
      <c r="S127" s="48"/>
      <c r="T127" s="53"/>
      <c r="V127" s="53"/>
      <c r="W127" s="53"/>
      <c r="X127" s="53"/>
      <c r="Y127" s="48"/>
    </row>
    <row r="128" spans="1:25" ht="12.75">
      <c r="A128" s="16"/>
      <c r="C128" s="56"/>
      <c r="D128" s="57"/>
      <c r="E128" s="57"/>
      <c r="F128" s="57"/>
      <c r="I128" s="48"/>
      <c r="R128" s="48"/>
      <c r="S128" s="48"/>
      <c r="T128" s="53"/>
      <c r="V128" s="53"/>
      <c r="W128" s="53"/>
      <c r="X128" s="53"/>
      <c r="Y128" s="48"/>
    </row>
    <row r="129" spans="1:25" ht="12.75">
      <c r="A129" s="16"/>
      <c r="C129" s="56"/>
      <c r="D129" s="57"/>
      <c r="E129" s="57"/>
      <c r="F129" s="57"/>
      <c r="I129" s="48"/>
      <c r="R129" s="48"/>
      <c r="S129" s="48"/>
      <c r="T129" s="53"/>
      <c r="V129" s="53"/>
      <c r="W129" s="53"/>
      <c r="X129" s="53"/>
      <c r="Y129" s="48"/>
    </row>
    <row r="130" spans="1:25" ht="12.75">
      <c r="A130" s="16"/>
      <c r="C130" s="56"/>
      <c r="D130" s="57"/>
      <c r="E130" s="57"/>
      <c r="F130" s="57"/>
      <c r="I130" s="48"/>
      <c r="R130" s="48"/>
      <c r="S130" s="48"/>
      <c r="T130" s="53"/>
      <c r="V130" s="53"/>
      <c r="W130" s="53"/>
      <c r="X130" s="53"/>
      <c r="Y130" s="48"/>
    </row>
    <row r="131" spans="1:25" ht="12.75">
      <c r="A131" s="16"/>
      <c r="C131" s="56"/>
      <c r="D131" s="57"/>
      <c r="E131" s="57"/>
      <c r="F131" s="57"/>
      <c r="I131" s="48"/>
      <c r="R131" s="48"/>
      <c r="S131" s="48"/>
      <c r="T131" s="53"/>
      <c r="V131" s="53"/>
      <c r="W131" s="53"/>
      <c r="X131" s="53"/>
      <c r="Y131" s="48"/>
    </row>
    <row r="132" spans="1:25" ht="12.75">
      <c r="A132" s="16"/>
      <c r="C132" s="56"/>
      <c r="D132" s="57"/>
      <c r="E132" s="57"/>
      <c r="F132" s="57"/>
      <c r="I132" s="48"/>
      <c r="R132" s="48"/>
      <c r="S132" s="48"/>
      <c r="T132" s="53"/>
      <c r="V132" s="53"/>
      <c r="W132" s="53"/>
      <c r="X132" s="53"/>
      <c r="Y132" s="48"/>
    </row>
    <row r="133" spans="1:25" ht="12.75">
      <c r="A133" s="16"/>
      <c r="C133" s="56"/>
      <c r="D133" s="57"/>
      <c r="E133" s="57"/>
      <c r="F133" s="57"/>
      <c r="I133" s="48"/>
      <c r="R133" s="48"/>
      <c r="S133" s="48"/>
      <c r="T133" s="53"/>
      <c r="V133" s="53"/>
      <c r="W133" s="53"/>
      <c r="X133" s="53"/>
      <c r="Y133" s="48"/>
    </row>
    <row r="134" spans="1:25" ht="12.75">
      <c r="A134" s="16"/>
      <c r="C134" s="56"/>
      <c r="D134" s="57"/>
      <c r="E134" s="57"/>
      <c r="F134" s="57"/>
      <c r="I134" s="48"/>
      <c r="R134" s="48"/>
      <c r="S134" s="48"/>
      <c r="T134" s="53"/>
      <c r="V134" s="53"/>
      <c r="W134" s="53"/>
      <c r="X134" s="53"/>
      <c r="Y134" s="48"/>
    </row>
    <row r="135" spans="1:25" ht="12.75">
      <c r="A135" s="16"/>
      <c r="C135" s="56"/>
      <c r="D135" s="57"/>
      <c r="E135" s="57"/>
      <c r="F135" s="57"/>
      <c r="I135" s="48"/>
      <c r="R135" s="48"/>
      <c r="S135" s="48"/>
      <c r="T135" s="53"/>
      <c r="V135" s="53"/>
      <c r="W135" s="53"/>
      <c r="X135" s="53"/>
      <c r="Y135" s="48"/>
    </row>
    <row r="136" spans="1:25" ht="12.75">
      <c r="A136" s="16"/>
      <c r="C136" s="56"/>
      <c r="D136" s="57"/>
      <c r="E136" s="57"/>
      <c r="F136" s="57"/>
      <c r="I136" s="48"/>
      <c r="R136" s="48"/>
      <c r="S136" s="48"/>
      <c r="T136" s="53"/>
      <c r="V136" s="53"/>
      <c r="W136" s="53"/>
      <c r="X136" s="53"/>
      <c r="Y136" s="48"/>
    </row>
    <row r="137" spans="1:25" ht="12.75">
      <c r="A137" s="16"/>
      <c r="C137" s="56"/>
      <c r="D137" s="57"/>
      <c r="E137" s="57"/>
      <c r="F137" s="57"/>
      <c r="I137" s="48"/>
      <c r="R137" s="48"/>
      <c r="S137" s="48"/>
      <c r="T137" s="53"/>
      <c r="V137" s="53"/>
      <c r="W137" s="53"/>
      <c r="X137" s="53"/>
      <c r="Y137" s="48"/>
    </row>
    <row r="138" spans="1:25" ht="12.75">
      <c r="A138" s="16"/>
      <c r="C138" s="56"/>
      <c r="D138" s="57"/>
      <c r="E138" s="57"/>
      <c r="F138" s="57"/>
      <c r="I138" s="48"/>
      <c r="R138" s="48"/>
      <c r="S138" s="48"/>
      <c r="T138" s="53"/>
      <c r="V138" s="53"/>
      <c r="W138" s="53"/>
      <c r="X138" s="53"/>
      <c r="Y138" s="48"/>
    </row>
    <row r="139" spans="1:25" ht="12.75">
      <c r="A139" s="16"/>
      <c r="C139" s="56"/>
      <c r="D139" s="57"/>
      <c r="E139" s="57"/>
      <c r="F139" s="57"/>
      <c r="I139" s="48"/>
      <c r="R139" s="48"/>
      <c r="S139" s="48"/>
      <c r="T139" s="53"/>
      <c r="V139" s="53"/>
      <c r="W139" s="53"/>
      <c r="X139" s="53"/>
      <c r="Y139" s="48"/>
    </row>
    <row r="140" spans="1:25" ht="12.75">
      <c r="A140" s="16"/>
      <c r="C140" s="56"/>
      <c r="D140" s="57"/>
      <c r="E140" s="57"/>
      <c r="F140" s="57"/>
      <c r="I140" s="48"/>
      <c r="R140" s="48"/>
      <c r="S140" s="48"/>
      <c r="T140" s="53"/>
      <c r="V140" s="53"/>
      <c r="W140" s="53"/>
      <c r="X140" s="53"/>
      <c r="Y140" s="48"/>
    </row>
    <row r="141" spans="1:25" ht="12.75">
      <c r="A141" s="16"/>
      <c r="C141" s="56"/>
      <c r="D141" s="57"/>
      <c r="E141" s="57"/>
      <c r="F141" s="57"/>
      <c r="I141" s="48"/>
      <c r="R141" s="48"/>
      <c r="S141" s="48"/>
      <c r="T141" s="53"/>
      <c r="V141" s="53"/>
      <c r="W141" s="53"/>
      <c r="X141" s="53"/>
      <c r="Y141" s="48"/>
    </row>
    <row r="142" spans="1:25" ht="12.75">
      <c r="A142" s="16"/>
      <c r="C142" s="56"/>
      <c r="D142" s="57"/>
      <c r="E142" s="57"/>
      <c r="F142" s="57"/>
      <c r="I142" s="48"/>
      <c r="R142" s="48"/>
      <c r="S142" s="48"/>
      <c r="T142" s="53"/>
      <c r="V142" s="53"/>
      <c r="W142" s="53"/>
      <c r="X142" s="53"/>
      <c r="Y142" s="48"/>
    </row>
    <row r="143" spans="1:25" ht="12.75">
      <c r="A143" s="16"/>
      <c r="C143" s="56"/>
      <c r="D143" s="57"/>
      <c r="E143" s="57"/>
      <c r="F143" s="57"/>
      <c r="I143" s="48"/>
      <c r="R143" s="48"/>
      <c r="S143" s="48"/>
      <c r="T143" s="53"/>
      <c r="V143" s="53"/>
      <c r="W143" s="53"/>
      <c r="X143" s="53"/>
      <c r="Y143" s="48"/>
    </row>
    <row r="144" spans="1:25" ht="12.75">
      <c r="A144" s="16"/>
      <c r="C144" s="56"/>
      <c r="D144" s="57"/>
      <c r="E144" s="57"/>
      <c r="F144" s="57"/>
      <c r="I144" s="48"/>
      <c r="R144" s="48"/>
      <c r="S144" s="48"/>
      <c r="T144" s="53"/>
      <c r="V144" s="53"/>
      <c r="W144" s="53"/>
      <c r="X144" s="53"/>
      <c r="Y144" s="48"/>
    </row>
    <row r="145" spans="1:25" ht="12.75">
      <c r="A145" s="16"/>
      <c r="C145" s="56"/>
      <c r="D145" s="57"/>
      <c r="E145" s="57"/>
      <c r="F145" s="57"/>
      <c r="I145" s="48"/>
      <c r="R145" s="48"/>
      <c r="S145" s="48"/>
      <c r="T145" s="53"/>
      <c r="V145" s="53"/>
      <c r="W145" s="53"/>
      <c r="X145" s="53"/>
      <c r="Y145" s="48"/>
    </row>
    <row r="146" spans="1:25" ht="12.75">
      <c r="A146" s="16"/>
      <c r="C146" s="56"/>
      <c r="D146" s="57"/>
      <c r="E146" s="57"/>
      <c r="F146" s="57"/>
      <c r="I146" s="48"/>
      <c r="R146" s="48"/>
      <c r="S146" s="48"/>
      <c r="T146" s="53"/>
      <c r="V146" s="53"/>
      <c r="W146" s="53"/>
      <c r="X146" s="53"/>
      <c r="Y146" s="48"/>
    </row>
    <row r="147" spans="1:25" ht="12.75">
      <c r="A147" s="16"/>
      <c r="C147" s="56"/>
      <c r="D147" s="57"/>
      <c r="E147" s="57"/>
      <c r="F147" s="57"/>
      <c r="I147" s="48"/>
      <c r="R147" s="48"/>
      <c r="S147" s="48"/>
      <c r="T147" s="53"/>
      <c r="V147" s="53"/>
      <c r="W147" s="53"/>
      <c r="X147" s="53"/>
      <c r="Y147" s="48"/>
    </row>
    <row r="148" spans="1:25" ht="12.75">
      <c r="A148" s="16"/>
      <c r="C148" s="56"/>
      <c r="D148" s="57"/>
      <c r="E148" s="57"/>
      <c r="F148" s="57"/>
      <c r="I148" s="48"/>
      <c r="R148" s="48"/>
      <c r="S148" s="48"/>
      <c r="T148" s="53"/>
      <c r="V148" s="53"/>
      <c r="W148" s="53"/>
      <c r="X148" s="53"/>
      <c r="Y148" s="48"/>
    </row>
    <row r="149" spans="1:25" ht="12.75">
      <c r="A149" s="16"/>
      <c r="C149" s="56"/>
      <c r="D149" s="57"/>
      <c r="E149" s="57"/>
      <c r="F149" s="57"/>
      <c r="I149" s="48"/>
      <c r="R149" s="48"/>
      <c r="S149" s="48"/>
      <c r="T149" s="53"/>
      <c r="V149" s="53"/>
      <c r="W149" s="53"/>
      <c r="X149" s="53"/>
      <c r="Y149" s="48"/>
    </row>
    <row r="150" spans="1:25" ht="12.75">
      <c r="A150" s="16"/>
      <c r="C150" s="56"/>
      <c r="D150" s="57"/>
      <c r="E150" s="57"/>
      <c r="F150" s="57"/>
      <c r="I150" s="48"/>
      <c r="R150" s="48"/>
      <c r="S150" s="48"/>
      <c r="T150" s="53"/>
      <c r="V150" s="53"/>
      <c r="W150" s="53"/>
      <c r="X150" s="53"/>
      <c r="Y150" s="48"/>
    </row>
    <row r="151" spans="1:25" ht="12.75">
      <c r="A151" s="16"/>
      <c r="C151" s="56"/>
      <c r="D151" s="57"/>
      <c r="E151" s="57"/>
      <c r="F151" s="57"/>
      <c r="I151" s="48"/>
      <c r="R151" s="48"/>
      <c r="S151" s="48"/>
      <c r="T151" s="53"/>
      <c r="V151" s="53"/>
      <c r="W151" s="53"/>
      <c r="X151" s="53"/>
      <c r="Y151" s="48"/>
    </row>
    <row r="152" spans="1:25" ht="12.75">
      <c r="A152" s="16"/>
      <c r="C152" s="56"/>
      <c r="D152" s="57"/>
      <c r="E152" s="57"/>
      <c r="F152" s="57"/>
      <c r="I152" s="48"/>
      <c r="R152" s="48"/>
      <c r="S152" s="48"/>
      <c r="T152" s="53"/>
      <c r="V152" s="53"/>
      <c r="W152" s="53"/>
      <c r="X152" s="53"/>
      <c r="Y152" s="48"/>
    </row>
    <row r="153" spans="1:25" ht="12.75">
      <c r="A153" s="16"/>
      <c r="C153" s="56"/>
      <c r="D153" s="57"/>
      <c r="E153" s="57"/>
      <c r="F153" s="57"/>
      <c r="I153" s="48"/>
      <c r="R153" s="48"/>
      <c r="S153" s="48"/>
      <c r="T153" s="53"/>
      <c r="V153" s="53"/>
      <c r="W153" s="53"/>
      <c r="X153" s="53"/>
      <c r="Y153" s="48"/>
    </row>
    <row r="154" spans="1:25" ht="12.75">
      <c r="A154" s="16"/>
      <c r="C154" s="56"/>
      <c r="D154" s="57"/>
      <c r="E154" s="57"/>
      <c r="F154" s="57"/>
      <c r="I154" s="48"/>
      <c r="R154" s="48"/>
      <c r="S154" s="48"/>
      <c r="T154" s="53"/>
      <c r="V154" s="53"/>
      <c r="W154" s="53"/>
      <c r="X154" s="53"/>
      <c r="Y154" s="48"/>
    </row>
    <row r="155" spans="1:25" ht="12.75">
      <c r="A155" s="16"/>
      <c r="C155" s="56"/>
      <c r="D155" s="57"/>
      <c r="E155" s="57"/>
      <c r="F155" s="57"/>
      <c r="I155" s="48"/>
      <c r="R155" s="48"/>
      <c r="S155" s="48"/>
      <c r="T155" s="53"/>
      <c r="V155" s="53"/>
      <c r="W155" s="53"/>
      <c r="X155" s="53"/>
      <c r="Y155" s="48"/>
    </row>
    <row r="156" spans="1:25" ht="12.75">
      <c r="A156" s="16"/>
      <c r="C156" s="56"/>
      <c r="D156" s="57"/>
      <c r="E156" s="57"/>
      <c r="F156" s="57"/>
      <c r="I156" s="48"/>
      <c r="R156" s="48"/>
      <c r="S156" s="48"/>
      <c r="T156" s="53"/>
      <c r="V156" s="53"/>
      <c r="W156" s="53"/>
      <c r="X156" s="53"/>
      <c r="Y156" s="48"/>
    </row>
    <row r="157" spans="1:25" ht="12.75">
      <c r="A157" s="16"/>
      <c r="C157" s="56"/>
      <c r="D157" s="57"/>
      <c r="E157" s="57"/>
      <c r="F157" s="57"/>
      <c r="I157" s="48"/>
      <c r="R157" s="48"/>
      <c r="S157" s="48"/>
      <c r="T157" s="53"/>
      <c r="V157" s="53"/>
      <c r="W157" s="53"/>
      <c r="X157" s="53"/>
      <c r="Y157" s="48"/>
    </row>
    <row r="158" spans="1:25" ht="12.75">
      <c r="A158" s="16"/>
      <c r="C158" s="56"/>
      <c r="D158" s="57"/>
      <c r="E158" s="57"/>
      <c r="F158" s="57"/>
      <c r="I158" s="48"/>
      <c r="R158" s="48"/>
      <c r="S158" s="48"/>
      <c r="T158" s="53"/>
      <c r="V158" s="53"/>
      <c r="W158" s="53"/>
      <c r="X158" s="53"/>
      <c r="Y158" s="48"/>
    </row>
    <row r="159" spans="1:25" ht="12.75">
      <c r="A159" s="16"/>
      <c r="C159" s="56"/>
      <c r="D159" s="57"/>
      <c r="E159" s="57"/>
      <c r="F159" s="57"/>
      <c r="I159" s="48"/>
      <c r="R159" s="48"/>
      <c r="S159" s="48"/>
      <c r="T159" s="53"/>
      <c r="V159" s="53"/>
      <c r="W159" s="53"/>
      <c r="X159" s="53"/>
      <c r="Y159" s="48"/>
    </row>
    <row r="160" spans="1:25" ht="12.75">
      <c r="A160" s="16"/>
      <c r="C160" s="56"/>
      <c r="D160" s="57"/>
      <c r="E160" s="57"/>
      <c r="F160" s="57"/>
      <c r="I160" s="48"/>
      <c r="R160" s="48"/>
      <c r="S160" s="48"/>
      <c r="T160" s="53"/>
      <c r="V160" s="53"/>
      <c r="W160" s="53"/>
      <c r="X160" s="53"/>
      <c r="Y160" s="48"/>
    </row>
    <row r="161" spans="1:25" ht="12.75">
      <c r="A161" s="16"/>
      <c r="C161" s="56"/>
      <c r="D161" s="57"/>
      <c r="E161" s="57"/>
      <c r="F161" s="57"/>
      <c r="I161" s="48"/>
      <c r="R161" s="48"/>
      <c r="S161" s="48"/>
      <c r="T161" s="53"/>
      <c r="V161" s="53"/>
      <c r="W161" s="53"/>
      <c r="X161" s="53"/>
      <c r="Y161" s="48"/>
    </row>
    <row r="162" spans="1:25" ht="12.75">
      <c r="A162" s="16"/>
      <c r="C162" s="56"/>
      <c r="D162" s="57"/>
      <c r="E162" s="57"/>
      <c r="F162" s="57"/>
      <c r="I162" s="48"/>
      <c r="R162" s="48"/>
      <c r="S162" s="48"/>
      <c r="T162" s="53"/>
      <c r="V162" s="53"/>
      <c r="W162" s="53"/>
      <c r="X162" s="53"/>
      <c r="Y162" s="48"/>
    </row>
    <row r="163" spans="1:25" ht="12.75">
      <c r="A163" s="16"/>
      <c r="C163" s="56"/>
      <c r="D163" s="57"/>
      <c r="E163" s="57"/>
      <c r="F163" s="57"/>
      <c r="I163" s="48"/>
      <c r="R163" s="48"/>
      <c r="S163" s="48"/>
      <c r="T163" s="53"/>
      <c r="V163" s="53"/>
      <c r="W163" s="53"/>
      <c r="X163" s="53"/>
      <c r="Y163" s="48"/>
    </row>
    <row r="164" spans="1:25" ht="12.75">
      <c r="A164" s="16"/>
      <c r="C164" s="56"/>
      <c r="D164" s="57"/>
      <c r="E164" s="57"/>
      <c r="F164" s="57"/>
      <c r="I164" s="48"/>
      <c r="R164" s="48"/>
      <c r="S164" s="48"/>
      <c r="T164" s="53"/>
      <c r="V164" s="53"/>
      <c r="W164" s="53"/>
      <c r="X164" s="53"/>
      <c r="Y164" s="48"/>
    </row>
    <row r="165" spans="1:25" ht="12.75">
      <c r="A165" s="16"/>
      <c r="C165" s="56"/>
      <c r="D165" s="57"/>
      <c r="E165" s="57"/>
      <c r="F165" s="57"/>
      <c r="I165" s="48"/>
      <c r="R165" s="48"/>
      <c r="S165" s="48"/>
      <c r="T165" s="53"/>
      <c r="V165" s="53"/>
      <c r="W165" s="53"/>
      <c r="X165" s="53"/>
      <c r="Y165" s="48"/>
    </row>
    <row r="166" spans="1:25" ht="12.75">
      <c r="A166" s="16"/>
      <c r="C166" s="56"/>
      <c r="D166" s="57"/>
      <c r="E166" s="57"/>
      <c r="F166" s="57"/>
      <c r="I166" s="48"/>
      <c r="R166" s="48"/>
      <c r="S166" s="48"/>
      <c r="T166" s="53"/>
      <c r="V166" s="53"/>
      <c r="W166" s="53"/>
      <c r="X166" s="53"/>
      <c r="Y166" s="48"/>
    </row>
    <row r="167" spans="1:25" ht="12.75">
      <c r="A167" s="16"/>
      <c r="C167" s="56"/>
      <c r="D167" s="57"/>
      <c r="E167" s="57"/>
      <c r="F167" s="57"/>
      <c r="I167" s="48"/>
      <c r="R167" s="48"/>
      <c r="S167" s="48"/>
      <c r="T167" s="53"/>
      <c r="V167" s="53"/>
      <c r="W167" s="53"/>
      <c r="X167" s="53"/>
      <c r="Y167" s="48"/>
    </row>
    <row r="168" spans="1:25" ht="12.75">
      <c r="A168" s="16"/>
      <c r="C168" s="56"/>
      <c r="D168" s="57"/>
      <c r="E168" s="57"/>
      <c r="F168" s="57"/>
      <c r="I168" s="48"/>
      <c r="R168" s="48"/>
      <c r="S168" s="48"/>
      <c r="T168" s="53"/>
      <c r="V168" s="53"/>
      <c r="W168" s="53"/>
      <c r="X168" s="53"/>
      <c r="Y168" s="48"/>
    </row>
    <row r="169" spans="1:25" ht="12.75">
      <c r="A169" s="16"/>
      <c r="C169" s="56"/>
      <c r="D169" s="57"/>
      <c r="E169" s="57"/>
      <c r="F169" s="57"/>
      <c r="I169" s="48"/>
      <c r="R169" s="48"/>
      <c r="S169" s="48"/>
      <c r="T169" s="53"/>
      <c r="V169" s="53"/>
      <c r="W169" s="53"/>
      <c r="X169" s="53"/>
      <c r="Y169" s="48"/>
    </row>
    <row r="170" spans="1:25" ht="12.75">
      <c r="A170" s="16"/>
      <c r="C170" s="56"/>
      <c r="D170" s="57"/>
      <c r="E170" s="57"/>
      <c r="F170" s="57"/>
      <c r="I170" s="48"/>
      <c r="R170" s="48"/>
      <c r="S170" s="48"/>
      <c r="T170" s="53"/>
      <c r="V170" s="53"/>
      <c r="W170" s="53"/>
      <c r="X170" s="53"/>
      <c r="Y170" s="48"/>
    </row>
    <row r="171" spans="1:25" ht="12.75">
      <c r="A171" s="16"/>
      <c r="C171" s="56"/>
      <c r="D171" s="57"/>
      <c r="E171" s="57"/>
      <c r="F171" s="57"/>
      <c r="I171" s="48"/>
      <c r="R171" s="48"/>
      <c r="S171" s="48"/>
      <c r="T171" s="53"/>
      <c r="V171" s="53"/>
      <c r="W171" s="53"/>
      <c r="X171" s="53"/>
      <c r="Y171" s="48"/>
    </row>
    <row r="172" spans="1:25" ht="12.75">
      <c r="A172" s="16"/>
      <c r="C172" s="56"/>
      <c r="D172" s="57"/>
      <c r="E172" s="57"/>
      <c r="F172" s="57"/>
      <c r="I172" s="48"/>
      <c r="R172" s="48"/>
      <c r="S172" s="48"/>
      <c r="T172" s="53"/>
      <c r="V172" s="53"/>
      <c r="W172" s="53"/>
      <c r="X172" s="53"/>
      <c r="Y172" s="48"/>
    </row>
    <row r="173" spans="1:25" ht="12.75">
      <c r="A173" s="16"/>
      <c r="C173" s="56"/>
      <c r="D173" s="57"/>
      <c r="E173" s="57"/>
      <c r="F173" s="57"/>
      <c r="I173" s="48"/>
      <c r="R173" s="48"/>
      <c r="S173" s="48"/>
      <c r="T173" s="53"/>
      <c r="V173" s="53"/>
      <c r="W173" s="53"/>
      <c r="X173" s="53"/>
      <c r="Y173" s="48"/>
    </row>
    <row r="174" spans="1:25" ht="12.75">
      <c r="A174" s="16"/>
      <c r="C174" s="56"/>
      <c r="D174" s="57"/>
      <c r="E174" s="57"/>
      <c r="F174" s="57"/>
      <c r="I174" s="48"/>
      <c r="R174" s="48"/>
      <c r="S174" s="48"/>
      <c r="T174" s="53"/>
      <c r="V174" s="53"/>
      <c r="W174" s="53"/>
      <c r="X174" s="53"/>
      <c r="Y174" s="48"/>
    </row>
    <row r="175" spans="1:25" ht="12.75">
      <c r="A175" s="16"/>
      <c r="C175" s="56"/>
      <c r="D175" s="57"/>
      <c r="E175" s="57"/>
      <c r="F175" s="57"/>
      <c r="I175" s="48"/>
      <c r="R175" s="48"/>
      <c r="S175" s="48"/>
      <c r="T175" s="53"/>
      <c r="V175" s="53"/>
      <c r="W175" s="53"/>
      <c r="X175" s="53"/>
      <c r="Y175" s="48"/>
    </row>
    <row r="176" spans="1:25" ht="12.75">
      <c r="A176" s="16"/>
      <c r="C176" s="56"/>
      <c r="D176" s="57"/>
      <c r="E176" s="57"/>
      <c r="F176" s="57"/>
      <c r="I176" s="48"/>
      <c r="R176" s="48"/>
      <c r="S176" s="48"/>
      <c r="T176" s="53"/>
      <c r="V176" s="53"/>
      <c r="W176" s="53"/>
      <c r="X176" s="53"/>
      <c r="Y176" s="48"/>
    </row>
    <row r="177" spans="1:25" ht="12.75">
      <c r="A177" s="16"/>
      <c r="C177" s="56"/>
      <c r="D177" s="57"/>
      <c r="E177" s="57"/>
      <c r="F177" s="57"/>
      <c r="I177" s="48"/>
      <c r="R177" s="48"/>
      <c r="S177" s="48"/>
      <c r="T177" s="53"/>
      <c r="V177" s="53"/>
      <c r="W177" s="53"/>
      <c r="X177" s="53"/>
      <c r="Y177" s="48"/>
    </row>
    <row r="178" spans="1:25" ht="12.75">
      <c r="A178" s="16"/>
      <c r="C178" s="56"/>
      <c r="D178" s="57"/>
      <c r="E178" s="57"/>
      <c r="F178" s="57"/>
      <c r="I178" s="48"/>
      <c r="R178" s="48"/>
      <c r="S178" s="48"/>
      <c r="T178" s="53"/>
      <c r="V178" s="53"/>
      <c r="W178" s="53"/>
      <c r="X178" s="53"/>
      <c r="Y178" s="48"/>
    </row>
    <row r="179" spans="1:25" ht="12.75">
      <c r="A179" s="16"/>
      <c r="C179" s="56"/>
      <c r="D179" s="57"/>
      <c r="E179" s="57"/>
      <c r="F179" s="57"/>
      <c r="I179" s="48"/>
      <c r="R179" s="48"/>
      <c r="S179" s="48"/>
      <c r="T179" s="53"/>
      <c r="V179" s="53"/>
      <c r="W179" s="53"/>
      <c r="X179" s="53"/>
      <c r="Y179" s="48"/>
    </row>
    <row r="180" spans="1:25" ht="12.75">
      <c r="A180" s="16"/>
      <c r="C180" s="56"/>
      <c r="D180" s="57"/>
      <c r="E180" s="57"/>
      <c r="F180" s="57"/>
      <c r="I180" s="48"/>
      <c r="R180" s="48"/>
      <c r="S180" s="48"/>
      <c r="T180" s="53"/>
      <c r="V180" s="53"/>
      <c r="W180" s="53"/>
      <c r="X180" s="53"/>
      <c r="Y180" s="48"/>
    </row>
    <row r="181" spans="1:25" ht="12.75">
      <c r="A181" s="16"/>
      <c r="C181" s="56"/>
      <c r="D181" s="57"/>
      <c r="E181" s="57"/>
      <c r="F181" s="57"/>
      <c r="I181" s="48"/>
      <c r="R181" s="48"/>
      <c r="S181" s="48"/>
      <c r="T181" s="53"/>
      <c r="V181" s="53"/>
      <c r="W181" s="53"/>
      <c r="X181" s="53"/>
      <c r="Y181" s="48"/>
    </row>
    <row r="182" spans="1:25" ht="12.75">
      <c r="A182" s="16"/>
      <c r="C182" s="56"/>
      <c r="D182" s="57"/>
      <c r="E182" s="57"/>
      <c r="F182" s="57"/>
      <c r="I182" s="48"/>
      <c r="R182" s="48"/>
      <c r="S182" s="48"/>
      <c r="T182" s="53"/>
      <c r="V182" s="53"/>
      <c r="W182" s="53"/>
      <c r="X182" s="53"/>
      <c r="Y182" s="48"/>
    </row>
    <row r="183" spans="1:25" ht="12.75">
      <c r="A183" s="16"/>
      <c r="C183" s="56"/>
      <c r="D183" s="57"/>
      <c r="E183" s="57"/>
      <c r="F183" s="57"/>
      <c r="I183" s="48"/>
      <c r="R183" s="48"/>
      <c r="S183" s="48"/>
      <c r="T183" s="53"/>
      <c r="V183" s="53"/>
      <c r="W183" s="53"/>
      <c r="X183" s="53"/>
      <c r="Y183" s="48"/>
    </row>
    <row r="184" spans="1:25" ht="12.75">
      <c r="A184" s="16"/>
      <c r="C184" s="56"/>
      <c r="D184" s="57"/>
      <c r="E184" s="57"/>
      <c r="F184" s="57"/>
      <c r="I184" s="48"/>
      <c r="R184" s="48"/>
      <c r="S184" s="48"/>
      <c r="T184" s="53"/>
      <c r="V184" s="53"/>
      <c r="W184" s="53"/>
      <c r="X184" s="53"/>
      <c r="Y184" s="48"/>
    </row>
    <row r="185" spans="1:25" ht="12.75">
      <c r="A185" s="16"/>
      <c r="C185" s="56"/>
      <c r="D185" s="57"/>
      <c r="E185" s="57"/>
      <c r="F185" s="57"/>
      <c r="I185" s="48"/>
      <c r="R185" s="48"/>
      <c r="S185" s="48"/>
      <c r="T185" s="53"/>
      <c r="V185" s="53"/>
      <c r="W185" s="53"/>
      <c r="X185" s="53"/>
      <c r="Y185" s="48"/>
    </row>
    <row r="186" spans="1:25" ht="12.75">
      <c r="A186" s="16"/>
      <c r="C186" s="56"/>
      <c r="D186" s="57"/>
      <c r="E186" s="57"/>
      <c r="F186" s="57"/>
      <c r="I186" s="48"/>
      <c r="R186" s="48"/>
      <c r="S186" s="48"/>
      <c r="T186" s="53"/>
      <c r="V186" s="53"/>
      <c r="W186" s="53"/>
      <c r="X186" s="53"/>
      <c r="Y186" s="48"/>
    </row>
    <row r="187" spans="1:25" ht="12.75">
      <c r="A187" s="16"/>
      <c r="C187" s="56"/>
      <c r="D187" s="57"/>
      <c r="E187" s="57"/>
      <c r="F187" s="57"/>
      <c r="I187" s="48"/>
      <c r="R187" s="48"/>
      <c r="S187" s="48"/>
      <c r="T187" s="53"/>
      <c r="V187" s="53"/>
      <c r="W187" s="53"/>
      <c r="X187" s="53"/>
      <c r="Y187" s="48"/>
    </row>
    <row r="188" spans="1:25" ht="12.75">
      <c r="A188" s="16"/>
      <c r="C188" s="56"/>
      <c r="D188" s="57"/>
      <c r="E188" s="57"/>
      <c r="F188" s="57"/>
      <c r="I188" s="48"/>
      <c r="R188" s="48"/>
      <c r="S188" s="48"/>
      <c r="T188" s="53"/>
      <c r="V188" s="53"/>
      <c r="W188" s="53"/>
      <c r="X188" s="53"/>
      <c r="Y188" s="48"/>
    </row>
    <row r="189" spans="1:25" ht="12.75">
      <c r="A189" s="16"/>
      <c r="C189" s="56"/>
      <c r="D189" s="57"/>
      <c r="E189" s="57"/>
      <c r="F189" s="57"/>
      <c r="I189" s="48"/>
      <c r="R189" s="48"/>
      <c r="S189" s="48"/>
      <c r="T189" s="53"/>
      <c r="V189" s="53"/>
      <c r="W189" s="53"/>
      <c r="X189" s="53"/>
      <c r="Y189" s="48"/>
    </row>
    <row r="190" spans="1:25" ht="12.75">
      <c r="A190" s="16"/>
      <c r="C190" s="56"/>
      <c r="D190" s="57"/>
      <c r="E190" s="57"/>
      <c r="F190" s="57"/>
      <c r="I190" s="48"/>
      <c r="R190" s="48"/>
      <c r="S190" s="48"/>
      <c r="T190" s="53"/>
      <c r="V190" s="53"/>
      <c r="W190" s="53"/>
      <c r="X190" s="53"/>
      <c r="Y190" s="48"/>
    </row>
    <row r="191" spans="1:25" ht="12.75">
      <c r="A191" s="16"/>
      <c r="C191" s="56"/>
      <c r="D191" s="57"/>
      <c r="E191" s="57"/>
      <c r="F191" s="57"/>
      <c r="I191" s="48"/>
      <c r="R191" s="48"/>
      <c r="S191" s="48"/>
      <c r="T191" s="53"/>
      <c r="V191" s="53"/>
      <c r="W191" s="53"/>
      <c r="X191" s="53"/>
      <c r="Y191" s="48"/>
    </row>
    <row r="192" spans="1:25" ht="12.75">
      <c r="A192" s="16"/>
      <c r="C192" s="56"/>
      <c r="D192" s="57"/>
      <c r="E192" s="57"/>
      <c r="F192" s="57"/>
      <c r="I192" s="48"/>
      <c r="R192" s="48"/>
      <c r="S192" s="48"/>
      <c r="T192" s="53"/>
      <c r="V192" s="53"/>
      <c r="W192" s="53"/>
      <c r="X192" s="53"/>
      <c r="Y192" s="48"/>
    </row>
    <row r="193" spans="1:25" ht="12.75">
      <c r="A193" s="16"/>
      <c r="C193" s="56"/>
      <c r="D193" s="57"/>
      <c r="E193" s="57"/>
      <c r="F193" s="57"/>
      <c r="I193" s="48"/>
      <c r="R193" s="48"/>
      <c r="S193" s="48"/>
      <c r="T193" s="53"/>
      <c r="V193" s="53"/>
      <c r="W193" s="53"/>
      <c r="X193" s="53"/>
      <c r="Y193" s="48"/>
    </row>
    <row r="194" spans="1:25" ht="12.75">
      <c r="A194" s="16"/>
      <c r="C194" s="56"/>
      <c r="D194" s="57"/>
      <c r="E194" s="57"/>
      <c r="F194" s="57"/>
      <c r="I194" s="48"/>
      <c r="R194" s="48"/>
      <c r="S194" s="48"/>
      <c r="T194" s="53"/>
      <c r="V194" s="53"/>
      <c r="W194" s="53"/>
      <c r="X194" s="53"/>
      <c r="Y194" s="48"/>
    </row>
    <row r="195" spans="1:25" ht="12.75">
      <c r="A195" s="16"/>
      <c r="C195" s="56"/>
      <c r="D195" s="57"/>
      <c r="E195" s="57"/>
      <c r="F195" s="57"/>
      <c r="I195" s="48"/>
      <c r="R195" s="48"/>
      <c r="S195" s="48"/>
      <c r="T195" s="53"/>
      <c r="V195" s="53"/>
      <c r="W195" s="53"/>
      <c r="X195" s="53"/>
      <c r="Y195" s="48"/>
    </row>
    <row r="196" spans="1:25" ht="12.75">
      <c r="A196" s="16"/>
      <c r="C196" s="56"/>
      <c r="D196" s="57"/>
      <c r="E196" s="57"/>
      <c r="F196" s="57"/>
      <c r="I196" s="48"/>
      <c r="R196" s="48"/>
      <c r="S196" s="48"/>
      <c r="T196" s="53"/>
      <c r="V196" s="53"/>
      <c r="W196" s="53"/>
      <c r="X196" s="53"/>
      <c r="Y196" s="48"/>
    </row>
    <row r="197" spans="1:25" ht="12.75">
      <c r="A197" s="16"/>
      <c r="C197" s="56"/>
      <c r="D197" s="57"/>
      <c r="E197" s="57"/>
      <c r="F197" s="57"/>
      <c r="I197" s="48"/>
      <c r="R197" s="48"/>
      <c r="S197" s="48"/>
      <c r="T197" s="53"/>
      <c r="V197" s="53"/>
      <c r="W197" s="53"/>
      <c r="X197" s="53"/>
      <c r="Y197" s="48"/>
    </row>
    <row r="198" spans="1:25" ht="12.75">
      <c r="A198" s="16"/>
      <c r="C198" s="56"/>
      <c r="D198" s="57"/>
      <c r="E198" s="57"/>
      <c r="F198" s="57"/>
      <c r="I198" s="48"/>
      <c r="R198" s="48"/>
      <c r="S198" s="48"/>
      <c r="T198" s="53"/>
      <c r="V198" s="53"/>
      <c r="W198" s="53"/>
      <c r="X198" s="53"/>
      <c r="Y198" s="48"/>
    </row>
    <row r="199" spans="1:25" ht="12.75">
      <c r="A199" s="16"/>
      <c r="C199" s="56"/>
      <c r="D199" s="57"/>
      <c r="E199" s="57"/>
      <c r="F199" s="57"/>
      <c r="I199" s="48"/>
      <c r="R199" s="48"/>
      <c r="S199" s="48"/>
      <c r="T199" s="53"/>
      <c r="V199" s="53"/>
      <c r="W199" s="53"/>
      <c r="X199" s="53"/>
      <c r="Y199" s="48"/>
    </row>
    <row r="200" spans="1:25" ht="12.75">
      <c r="A200" s="16"/>
      <c r="C200" s="56"/>
      <c r="D200" s="57"/>
      <c r="E200" s="57"/>
      <c r="F200" s="57"/>
      <c r="I200" s="48"/>
      <c r="R200" s="48"/>
      <c r="S200" s="48"/>
      <c r="T200" s="53"/>
      <c r="V200" s="53"/>
      <c r="W200" s="53"/>
      <c r="X200" s="53"/>
      <c r="Y200" s="48"/>
    </row>
    <row r="201" spans="1:25" ht="12.75">
      <c r="A201" s="16"/>
      <c r="C201" s="56"/>
      <c r="D201" s="57"/>
      <c r="E201" s="57"/>
      <c r="F201" s="57"/>
      <c r="I201" s="48"/>
      <c r="R201" s="48"/>
      <c r="S201" s="48"/>
      <c r="T201" s="53"/>
      <c r="V201" s="53"/>
      <c r="W201" s="53"/>
      <c r="X201" s="53"/>
      <c r="Y201" s="48"/>
    </row>
    <row r="202" spans="1:25" ht="12.75">
      <c r="A202" s="16"/>
      <c r="C202" s="56"/>
      <c r="D202" s="57"/>
      <c r="E202" s="57"/>
      <c r="F202" s="57"/>
      <c r="I202" s="48"/>
      <c r="R202" s="48"/>
      <c r="S202" s="48"/>
      <c r="T202" s="53"/>
      <c r="V202" s="53"/>
      <c r="W202" s="53"/>
      <c r="X202" s="53"/>
      <c r="Y202" s="48"/>
    </row>
    <row r="203" spans="1:25" ht="12.75">
      <c r="A203" s="16"/>
      <c r="C203" s="56"/>
      <c r="D203" s="57"/>
      <c r="E203" s="57"/>
      <c r="F203" s="57"/>
      <c r="I203" s="48"/>
      <c r="R203" s="48"/>
      <c r="S203" s="48"/>
      <c r="T203" s="53"/>
      <c r="V203" s="53"/>
      <c r="W203" s="53"/>
      <c r="X203" s="53"/>
      <c r="Y203" s="48"/>
    </row>
    <row r="204" spans="1:25" ht="12.75">
      <c r="A204" s="16"/>
      <c r="C204" s="56"/>
      <c r="D204" s="57"/>
      <c r="E204" s="57"/>
      <c r="F204" s="57"/>
      <c r="I204" s="48"/>
      <c r="R204" s="48"/>
      <c r="S204" s="48"/>
      <c r="T204" s="53"/>
      <c r="V204" s="53"/>
      <c r="W204" s="53"/>
      <c r="X204" s="53"/>
      <c r="Y204" s="48"/>
    </row>
    <row r="205" spans="1:25" ht="12.75">
      <c r="A205" s="16"/>
      <c r="C205" s="56"/>
      <c r="D205" s="57"/>
      <c r="E205" s="57"/>
      <c r="F205" s="57"/>
      <c r="I205" s="48"/>
      <c r="R205" s="48"/>
      <c r="S205" s="48"/>
      <c r="T205" s="53"/>
      <c r="V205" s="53"/>
      <c r="W205" s="53"/>
      <c r="X205" s="53"/>
      <c r="Y205" s="48"/>
    </row>
    <row r="206" spans="1:25" ht="12.75">
      <c r="A206" s="16"/>
      <c r="C206" s="56"/>
      <c r="D206" s="57"/>
      <c r="E206" s="57"/>
      <c r="F206" s="57"/>
      <c r="I206" s="48"/>
      <c r="R206" s="48"/>
      <c r="S206" s="48"/>
      <c r="T206" s="53"/>
      <c r="V206" s="53"/>
      <c r="W206" s="53"/>
      <c r="X206" s="53"/>
      <c r="Y206" s="48"/>
    </row>
    <row r="207" spans="1:25" ht="12.75">
      <c r="A207" s="16"/>
      <c r="C207" s="56"/>
      <c r="D207" s="57"/>
      <c r="E207" s="57"/>
      <c r="F207" s="57"/>
      <c r="I207" s="48"/>
      <c r="R207" s="48"/>
      <c r="S207" s="48"/>
      <c r="T207" s="53"/>
      <c r="V207" s="53"/>
      <c r="W207" s="53"/>
      <c r="X207" s="53"/>
      <c r="Y207" s="48"/>
    </row>
    <row r="208" spans="1:25" ht="12.75">
      <c r="A208" s="16"/>
      <c r="C208" s="56"/>
      <c r="D208" s="57"/>
      <c r="E208" s="57"/>
      <c r="F208" s="57"/>
      <c r="I208" s="48"/>
      <c r="R208" s="48"/>
      <c r="S208" s="48"/>
      <c r="T208" s="53"/>
      <c r="V208" s="53"/>
      <c r="W208" s="53"/>
      <c r="X208" s="53"/>
      <c r="Y208" s="48"/>
    </row>
    <row r="209" spans="1:25" ht="12.75">
      <c r="A209" s="16"/>
      <c r="C209" s="56"/>
      <c r="D209" s="57"/>
      <c r="E209" s="57"/>
      <c r="F209" s="57"/>
      <c r="I209" s="48"/>
      <c r="R209" s="48"/>
      <c r="S209" s="48"/>
      <c r="T209" s="53"/>
      <c r="V209" s="53"/>
      <c r="W209" s="53"/>
      <c r="X209" s="53"/>
      <c r="Y209" s="48"/>
    </row>
    <row r="210" spans="1:25" ht="12.75">
      <c r="A210" s="16"/>
      <c r="C210" s="56"/>
      <c r="D210" s="57"/>
      <c r="E210" s="57"/>
      <c r="F210" s="57"/>
      <c r="I210" s="48"/>
      <c r="R210" s="48"/>
      <c r="S210" s="48"/>
      <c r="T210" s="53"/>
      <c r="V210" s="53"/>
      <c r="W210" s="53"/>
      <c r="X210" s="53"/>
      <c r="Y210" s="48"/>
    </row>
    <row r="211" spans="1:25" ht="12.75">
      <c r="A211" s="16"/>
      <c r="C211" s="56"/>
      <c r="D211" s="57"/>
      <c r="E211" s="57"/>
      <c r="F211" s="57"/>
      <c r="I211" s="48"/>
      <c r="R211" s="48"/>
      <c r="S211" s="48"/>
      <c r="T211" s="53"/>
      <c r="V211" s="53"/>
      <c r="W211" s="53"/>
      <c r="X211" s="53"/>
      <c r="Y211" s="48"/>
    </row>
    <row r="212" spans="1:25" ht="12.75">
      <c r="A212" s="16"/>
      <c r="C212" s="56"/>
      <c r="D212" s="57"/>
      <c r="E212" s="57"/>
      <c r="F212" s="57"/>
      <c r="I212" s="48"/>
      <c r="R212" s="48"/>
      <c r="S212" s="48"/>
      <c r="T212" s="53"/>
      <c r="V212" s="53"/>
      <c r="W212" s="53"/>
      <c r="X212" s="53"/>
      <c r="Y212" s="48"/>
    </row>
    <row r="213" spans="1:25" ht="12.75">
      <c r="A213" s="16"/>
      <c r="C213" s="56"/>
      <c r="D213" s="57"/>
      <c r="E213" s="57"/>
      <c r="F213" s="57"/>
      <c r="I213" s="48"/>
      <c r="R213" s="48"/>
      <c r="S213" s="48"/>
      <c r="T213" s="53"/>
      <c r="V213" s="53"/>
      <c r="W213" s="53"/>
      <c r="X213" s="53"/>
      <c r="Y213" s="48"/>
    </row>
    <row r="214" spans="1:25" ht="12.75">
      <c r="A214" s="16"/>
      <c r="C214" s="56"/>
      <c r="D214" s="57"/>
      <c r="E214" s="57"/>
      <c r="F214" s="57"/>
      <c r="I214" s="48"/>
      <c r="R214" s="48"/>
      <c r="S214" s="48"/>
      <c r="T214" s="53"/>
      <c r="V214" s="53"/>
      <c r="W214" s="53"/>
      <c r="X214" s="53"/>
      <c r="Y214" s="48"/>
    </row>
    <row r="215" spans="1:25" ht="12.75">
      <c r="A215" s="16"/>
      <c r="C215" s="56"/>
      <c r="D215" s="57"/>
      <c r="E215" s="57"/>
      <c r="F215" s="57"/>
      <c r="I215" s="48"/>
      <c r="R215" s="48"/>
      <c r="S215" s="48"/>
      <c r="T215" s="53"/>
      <c r="V215" s="53"/>
      <c r="W215" s="53"/>
      <c r="X215" s="53"/>
      <c r="Y215" s="48"/>
    </row>
    <row r="216" spans="1:25" ht="12.75">
      <c r="A216" s="16"/>
      <c r="C216" s="56"/>
      <c r="D216" s="57"/>
      <c r="E216" s="57"/>
      <c r="F216" s="57"/>
      <c r="I216" s="48"/>
      <c r="R216" s="48"/>
      <c r="S216" s="48"/>
      <c r="T216" s="53"/>
      <c r="V216" s="53"/>
      <c r="W216" s="53"/>
      <c r="X216" s="53"/>
      <c r="Y216" s="48"/>
    </row>
    <row r="217" spans="1:25" ht="12.75">
      <c r="A217" s="16"/>
      <c r="C217" s="56"/>
      <c r="D217" s="57"/>
      <c r="E217" s="57"/>
      <c r="F217" s="57"/>
      <c r="I217" s="48"/>
      <c r="R217" s="48"/>
      <c r="S217" s="48"/>
      <c r="T217" s="53"/>
      <c r="V217" s="53"/>
      <c r="W217" s="53"/>
      <c r="X217" s="53"/>
      <c r="Y217" s="48"/>
    </row>
    <row r="218" spans="1:25" ht="12.75">
      <c r="A218" s="16"/>
      <c r="C218" s="56"/>
      <c r="D218" s="57"/>
      <c r="E218" s="57"/>
      <c r="F218" s="57"/>
      <c r="I218" s="48"/>
      <c r="R218" s="48"/>
      <c r="S218" s="48"/>
      <c r="T218" s="53"/>
      <c r="V218" s="53"/>
      <c r="W218" s="53"/>
      <c r="X218" s="53"/>
      <c r="Y218" s="48"/>
    </row>
    <row r="219" spans="1:25" ht="12.75">
      <c r="A219" s="16"/>
      <c r="C219" s="56"/>
      <c r="D219" s="57"/>
      <c r="E219" s="57"/>
      <c r="F219" s="57"/>
      <c r="I219" s="48"/>
      <c r="R219" s="48"/>
      <c r="S219" s="48"/>
      <c r="T219" s="53"/>
      <c r="V219" s="53"/>
      <c r="W219" s="53"/>
      <c r="X219" s="53"/>
      <c r="Y219" s="48"/>
    </row>
    <row r="220" spans="1:25" ht="12.75">
      <c r="A220" s="16"/>
      <c r="C220" s="56"/>
      <c r="D220" s="57"/>
      <c r="E220" s="57"/>
      <c r="F220" s="57"/>
      <c r="I220" s="48"/>
      <c r="R220" s="48"/>
      <c r="S220" s="48"/>
      <c r="T220" s="53"/>
      <c r="V220" s="53"/>
      <c r="W220" s="53"/>
      <c r="X220" s="53"/>
      <c r="Y220" s="48"/>
    </row>
    <row r="221" spans="1:25" ht="12.75">
      <c r="A221" s="16"/>
      <c r="C221" s="56"/>
      <c r="D221" s="57"/>
      <c r="E221" s="57"/>
      <c r="F221" s="57"/>
      <c r="I221" s="48"/>
      <c r="R221" s="48"/>
      <c r="S221" s="48"/>
      <c r="T221" s="53"/>
      <c r="V221" s="53"/>
      <c r="W221" s="53"/>
      <c r="X221" s="53"/>
      <c r="Y221" s="48"/>
    </row>
    <row r="222" spans="1:25" ht="12.75">
      <c r="A222" s="16"/>
      <c r="C222" s="56"/>
      <c r="D222" s="57"/>
      <c r="E222" s="57"/>
      <c r="F222" s="57"/>
      <c r="I222" s="48"/>
      <c r="R222" s="48"/>
      <c r="S222" s="48"/>
      <c r="T222" s="53"/>
      <c r="V222" s="53"/>
      <c r="W222" s="53"/>
      <c r="X222" s="53"/>
      <c r="Y222" s="48"/>
    </row>
    <row r="223" spans="1:25" ht="12.75">
      <c r="A223" s="16"/>
      <c r="C223" s="56"/>
      <c r="D223" s="57"/>
      <c r="E223" s="57"/>
      <c r="F223" s="57"/>
      <c r="I223" s="48"/>
      <c r="R223" s="48"/>
      <c r="S223" s="48"/>
      <c r="T223" s="53"/>
      <c r="V223" s="53"/>
      <c r="W223" s="53"/>
      <c r="X223" s="53"/>
      <c r="Y223" s="48"/>
    </row>
    <row r="224" spans="1:25" ht="12.75">
      <c r="A224" s="16"/>
      <c r="C224" s="56"/>
      <c r="D224" s="57"/>
      <c r="E224" s="57"/>
      <c r="F224" s="57"/>
      <c r="I224" s="48"/>
      <c r="R224" s="48"/>
      <c r="S224" s="48"/>
      <c r="T224" s="53"/>
      <c r="V224" s="53"/>
      <c r="W224" s="53"/>
      <c r="X224" s="53"/>
      <c r="Y224" s="48"/>
    </row>
    <row r="225" spans="1:25" ht="12.75">
      <c r="A225" s="16"/>
      <c r="C225" s="56"/>
      <c r="D225" s="57"/>
      <c r="E225" s="57"/>
      <c r="F225" s="57"/>
      <c r="I225" s="48"/>
      <c r="R225" s="48"/>
      <c r="S225" s="48"/>
      <c r="T225" s="53"/>
      <c r="V225" s="53"/>
      <c r="W225" s="53"/>
      <c r="X225" s="53"/>
      <c r="Y225" s="48"/>
    </row>
    <row r="226" spans="1:25" ht="12.75">
      <c r="A226" s="16"/>
      <c r="C226" s="56"/>
      <c r="D226" s="57"/>
      <c r="E226" s="57"/>
      <c r="F226" s="57"/>
      <c r="I226" s="48"/>
      <c r="R226" s="48"/>
      <c r="S226" s="48"/>
      <c r="T226" s="53"/>
      <c r="V226" s="53"/>
      <c r="W226" s="53"/>
      <c r="X226" s="53"/>
      <c r="Y226" s="48"/>
    </row>
    <row r="227" spans="1:25" ht="12.75">
      <c r="A227" s="16"/>
      <c r="C227" s="56"/>
      <c r="D227" s="57"/>
      <c r="E227" s="57"/>
      <c r="F227" s="57"/>
      <c r="I227" s="48"/>
      <c r="R227" s="48"/>
      <c r="S227" s="48"/>
      <c r="T227" s="53"/>
      <c r="V227" s="53"/>
      <c r="W227" s="53"/>
      <c r="X227" s="53"/>
      <c r="Y227" s="48"/>
    </row>
    <row r="228" spans="1:25" ht="12.75">
      <c r="A228" s="16"/>
      <c r="C228" s="56"/>
      <c r="D228" s="57"/>
      <c r="E228" s="57"/>
      <c r="F228" s="57"/>
      <c r="I228" s="48"/>
      <c r="R228" s="48"/>
      <c r="S228" s="48"/>
      <c r="T228" s="53"/>
      <c r="V228" s="53"/>
      <c r="W228" s="53"/>
      <c r="X228" s="53"/>
      <c r="Y228" s="48"/>
    </row>
    <row r="229" spans="1:25" ht="12.75">
      <c r="A229" s="16"/>
      <c r="C229" s="56"/>
      <c r="D229" s="57"/>
      <c r="E229" s="57"/>
      <c r="F229" s="57"/>
      <c r="I229" s="48"/>
      <c r="R229" s="48"/>
      <c r="S229" s="48"/>
      <c r="T229" s="53"/>
      <c r="V229" s="53"/>
      <c r="W229" s="53"/>
      <c r="X229" s="53"/>
      <c r="Y229" s="48"/>
    </row>
    <row r="230" spans="1:25" ht="12.75">
      <c r="A230" s="16"/>
      <c r="C230" s="56"/>
      <c r="D230" s="57"/>
      <c r="E230" s="57"/>
      <c r="F230" s="57"/>
      <c r="I230" s="48"/>
      <c r="R230" s="48"/>
      <c r="S230" s="48"/>
      <c r="T230" s="53"/>
      <c r="V230" s="53"/>
      <c r="W230" s="53"/>
      <c r="X230" s="53"/>
      <c r="Y230" s="48"/>
    </row>
    <row r="231" spans="1:25" ht="12.75">
      <c r="A231" s="16"/>
      <c r="C231" s="56"/>
      <c r="D231" s="57"/>
      <c r="E231" s="57"/>
      <c r="F231" s="57"/>
      <c r="I231" s="48"/>
      <c r="R231" s="48"/>
      <c r="S231" s="48"/>
      <c r="T231" s="53"/>
      <c r="V231" s="53"/>
      <c r="W231" s="53"/>
      <c r="X231" s="53"/>
      <c r="Y231" s="48"/>
    </row>
    <row r="232" spans="1:25" ht="12.75">
      <c r="A232" s="16"/>
      <c r="C232" s="56"/>
      <c r="D232" s="57"/>
      <c r="E232" s="57"/>
      <c r="F232" s="57"/>
      <c r="I232" s="48"/>
      <c r="R232" s="48"/>
      <c r="S232" s="48"/>
      <c r="T232" s="53"/>
      <c r="V232" s="53"/>
      <c r="W232" s="53"/>
      <c r="X232" s="53"/>
      <c r="Y232" s="48"/>
    </row>
    <row r="233" spans="1:25" ht="12.75">
      <c r="A233" s="16"/>
      <c r="C233" s="56"/>
      <c r="D233" s="57"/>
      <c r="E233" s="57"/>
      <c r="F233" s="57"/>
      <c r="I233" s="48"/>
      <c r="R233" s="48"/>
      <c r="S233" s="48"/>
      <c r="T233" s="53"/>
      <c r="V233" s="53"/>
      <c r="W233" s="53"/>
      <c r="X233" s="53"/>
      <c r="Y233" s="48"/>
    </row>
    <row r="234" spans="1:25" ht="12.75">
      <c r="A234" s="16"/>
      <c r="C234" s="56"/>
      <c r="D234" s="57"/>
      <c r="E234" s="57"/>
      <c r="F234" s="57"/>
      <c r="I234" s="48"/>
      <c r="R234" s="48"/>
      <c r="S234" s="48"/>
      <c r="T234" s="53"/>
      <c r="V234" s="53"/>
      <c r="W234" s="53"/>
      <c r="X234" s="53"/>
      <c r="Y234" s="48"/>
    </row>
    <row r="235" spans="1:25" ht="12.75">
      <c r="A235" s="16"/>
      <c r="C235" s="56"/>
      <c r="D235" s="57"/>
      <c r="E235" s="57"/>
      <c r="F235" s="57"/>
      <c r="I235" s="48"/>
      <c r="R235" s="48"/>
      <c r="S235" s="48"/>
      <c r="T235" s="53"/>
      <c r="V235" s="53"/>
      <c r="W235" s="53"/>
      <c r="X235" s="53"/>
      <c r="Y235" s="48"/>
    </row>
    <row r="236" spans="1:25" ht="12.75">
      <c r="A236" s="16"/>
      <c r="C236" s="56"/>
      <c r="D236" s="57"/>
      <c r="E236" s="57"/>
      <c r="F236" s="57"/>
      <c r="I236" s="48"/>
      <c r="R236" s="48"/>
      <c r="S236" s="48"/>
      <c r="T236" s="53"/>
      <c r="V236" s="53"/>
      <c r="W236" s="53"/>
      <c r="X236" s="53"/>
      <c r="Y236" s="48"/>
    </row>
    <row r="237" spans="1:25" ht="12.75">
      <c r="A237" s="16"/>
      <c r="C237" s="56"/>
      <c r="D237" s="57"/>
      <c r="E237" s="57"/>
      <c r="F237" s="57"/>
      <c r="I237" s="48"/>
      <c r="R237" s="48"/>
      <c r="S237" s="48"/>
      <c r="T237" s="53"/>
      <c r="V237" s="53"/>
      <c r="W237" s="53"/>
      <c r="X237" s="53"/>
      <c r="Y237" s="48"/>
    </row>
    <row r="238" spans="1:25" ht="12.75">
      <c r="A238" s="16"/>
      <c r="C238" s="56"/>
      <c r="D238" s="57"/>
      <c r="E238" s="57"/>
      <c r="F238" s="57"/>
      <c r="I238" s="48"/>
      <c r="R238" s="48"/>
      <c r="S238" s="48"/>
      <c r="T238" s="53"/>
      <c r="V238" s="53"/>
      <c r="W238" s="53"/>
      <c r="X238" s="53"/>
      <c r="Y238" s="48"/>
    </row>
    <row r="239" spans="1:25" ht="12.75">
      <c r="A239" s="16"/>
      <c r="C239" s="56"/>
      <c r="D239" s="57"/>
      <c r="E239" s="57"/>
      <c r="F239" s="57"/>
      <c r="I239" s="48"/>
      <c r="R239" s="48"/>
      <c r="S239" s="48"/>
      <c r="T239" s="53"/>
      <c r="V239" s="53"/>
      <c r="W239" s="53"/>
      <c r="X239" s="53"/>
      <c r="Y239" s="48"/>
    </row>
    <row r="240" spans="1:25" ht="12.75">
      <c r="A240" s="16"/>
      <c r="C240" s="56"/>
      <c r="D240" s="57"/>
      <c r="E240" s="57"/>
      <c r="F240" s="57"/>
      <c r="I240" s="48"/>
      <c r="R240" s="48"/>
      <c r="S240" s="48"/>
      <c r="T240" s="53"/>
      <c r="V240" s="53"/>
      <c r="W240" s="53"/>
      <c r="X240" s="53"/>
      <c r="Y240" s="48"/>
    </row>
    <row r="241" spans="1:25" ht="12.75">
      <c r="A241" s="16"/>
      <c r="C241" s="56"/>
      <c r="D241" s="57"/>
      <c r="E241" s="57"/>
      <c r="F241" s="57"/>
      <c r="I241" s="48"/>
      <c r="R241" s="48"/>
      <c r="S241" s="48"/>
      <c r="T241" s="53"/>
      <c r="V241" s="53"/>
      <c r="W241" s="53"/>
      <c r="X241" s="53"/>
      <c r="Y241" s="48"/>
    </row>
    <row r="242" spans="1:25" ht="12.75">
      <c r="A242" s="16"/>
      <c r="C242" s="56"/>
      <c r="D242" s="57"/>
      <c r="E242" s="57"/>
      <c r="F242" s="57"/>
      <c r="I242" s="48"/>
      <c r="R242" s="48"/>
      <c r="S242" s="48"/>
      <c r="T242" s="53"/>
      <c r="V242" s="53"/>
      <c r="W242" s="53"/>
      <c r="X242" s="53"/>
      <c r="Y242" s="48"/>
    </row>
    <row r="243" spans="1:25" ht="12.75">
      <c r="A243" s="16"/>
      <c r="C243" s="56"/>
      <c r="D243" s="57"/>
      <c r="E243" s="57"/>
      <c r="F243" s="57"/>
      <c r="I243" s="48"/>
      <c r="R243" s="48"/>
      <c r="S243" s="48"/>
      <c r="T243" s="53"/>
      <c r="V243" s="53"/>
      <c r="W243" s="53"/>
      <c r="X243" s="53"/>
      <c r="Y243" s="48"/>
    </row>
    <row r="244" spans="1:25" ht="12.75">
      <c r="A244" s="16"/>
      <c r="C244" s="56"/>
      <c r="D244" s="57"/>
      <c r="E244" s="57"/>
      <c r="F244" s="57"/>
      <c r="I244" s="48"/>
      <c r="R244" s="48"/>
      <c r="S244" s="48"/>
      <c r="T244" s="53"/>
      <c r="V244" s="53"/>
      <c r="W244" s="53"/>
      <c r="X244" s="53"/>
      <c r="Y244" s="48"/>
    </row>
    <row r="245" spans="1:25" ht="12.75">
      <c r="A245" s="16"/>
      <c r="C245" s="56"/>
      <c r="D245" s="57"/>
      <c r="E245" s="57"/>
      <c r="F245" s="57"/>
      <c r="I245" s="48"/>
      <c r="R245" s="48"/>
      <c r="S245" s="48"/>
      <c r="T245" s="53"/>
      <c r="V245" s="53"/>
      <c r="W245" s="53"/>
      <c r="X245" s="53"/>
      <c r="Y245" s="48"/>
    </row>
    <row r="246" spans="1:25" ht="12.75">
      <c r="A246" s="16"/>
      <c r="C246" s="56"/>
      <c r="D246" s="57"/>
      <c r="E246" s="57"/>
      <c r="F246" s="57"/>
      <c r="I246" s="48"/>
      <c r="R246" s="48"/>
      <c r="S246" s="48"/>
      <c r="T246" s="53"/>
      <c r="V246" s="53"/>
      <c r="W246" s="53"/>
      <c r="X246" s="53"/>
      <c r="Y246" s="48"/>
    </row>
    <row r="247" spans="1:25" ht="12.75">
      <c r="A247" s="16"/>
      <c r="C247" s="56"/>
      <c r="D247" s="57"/>
      <c r="E247" s="57"/>
      <c r="F247" s="57"/>
      <c r="I247" s="48"/>
      <c r="R247" s="48"/>
      <c r="S247" s="48"/>
      <c r="T247" s="53"/>
      <c r="V247" s="53"/>
      <c r="W247" s="53"/>
      <c r="X247" s="53"/>
      <c r="Y247" s="48"/>
    </row>
    <row r="248" spans="1:25" ht="12.75">
      <c r="A248" s="16"/>
      <c r="C248" s="56"/>
      <c r="D248" s="57"/>
      <c r="E248" s="57"/>
      <c r="F248" s="57"/>
      <c r="I248" s="48"/>
      <c r="R248" s="48"/>
      <c r="S248" s="48"/>
      <c r="T248" s="53"/>
      <c r="V248" s="53"/>
      <c r="W248" s="53"/>
      <c r="X248" s="53"/>
      <c r="Y248" s="48"/>
    </row>
    <row r="249" spans="1:25" ht="12.75">
      <c r="A249" s="16"/>
      <c r="C249" s="56"/>
      <c r="D249" s="57"/>
      <c r="E249" s="57"/>
      <c r="F249" s="57"/>
      <c r="I249" s="48"/>
      <c r="R249" s="48"/>
      <c r="S249" s="48"/>
      <c r="T249" s="53"/>
      <c r="V249" s="53"/>
      <c r="W249" s="53"/>
      <c r="X249" s="53"/>
      <c r="Y249" s="48"/>
    </row>
    <row r="250" spans="1:25" ht="12.75">
      <c r="A250" s="16"/>
      <c r="C250" s="56"/>
      <c r="D250" s="57"/>
      <c r="E250" s="57"/>
      <c r="F250" s="57"/>
      <c r="I250" s="48"/>
      <c r="R250" s="48"/>
      <c r="S250" s="48"/>
      <c r="T250" s="53"/>
      <c r="V250" s="53"/>
      <c r="W250" s="53"/>
      <c r="X250" s="53"/>
      <c r="Y250" s="48"/>
    </row>
    <row r="251" spans="1:25" ht="12.75">
      <c r="A251" s="16"/>
      <c r="C251" s="56"/>
      <c r="D251" s="57"/>
      <c r="E251" s="57"/>
      <c r="F251" s="57"/>
      <c r="I251" s="48"/>
      <c r="R251" s="48"/>
      <c r="S251" s="48"/>
      <c r="T251" s="53"/>
      <c r="V251" s="53"/>
      <c r="W251" s="53"/>
      <c r="X251" s="53"/>
      <c r="Y251" s="48"/>
    </row>
    <row r="252" spans="1:25" ht="12.75">
      <c r="A252" s="16"/>
      <c r="C252" s="56"/>
      <c r="D252" s="57"/>
      <c r="E252" s="57"/>
      <c r="F252" s="57"/>
      <c r="I252" s="48"/>
      <c r="R252" s="48"/>
      <c r="S252" s="48"/>
      <c r="T252" s="53"/>
      <c r="V252" s="53"/>
      <c r="W252" s="53"/>
      <c r="X252" s="53"/>
      <c r="Y252" s="48"/>
    </row>
    <row r="253" spans="1:25" ht="12.75">
      <c r="A253" s="16"/>
      <c r="C253" s="56"/>
      <c r="D253" s="57"/>
      <c r="E253" s="57"/>
      <c r="F253" s="57"/>
      <c r="I253" s="48"/>
      <c r="R253" s="48"/>
      <c r="S253" s="48"/>
      <c r="T253" s="53"/>
      <c r="V253" s="53"/>
      <c r="W253" s="53"/>
      <c r="X253" s="53"/>
      <c r="Y253" s="48"/>
    </row>
    <row r="254" spans="1:25" ht="12.75">
      <c r="A254" s="16"/>
      <c r="C254" s="56"/>
      <c r="D254" s="57"/>
      <c r="E254" s="57"/>
      <c r="F254" s="57"/>
      <c r="I254" s="48"/>
      <c r="R254" s="48"/>
      <c r="S254" s="48"/>
      <c r="T254" s="53"/>
      <c r="V254" s="53"/>
      <c r="W254" s="53"/>
      <c r="X254" s="53"/>
      <c r="Y254" s="48"/>
    </row>
    <row r="255" spans="1:25" ht="12.75">
      <c r="A255" s="16"/>
      <c r="C255" s="56"/>
      <c r="D255" s="57"/>
      <c r="E255" s="57"/>
      <c r="F255" s="57"/>
      <c r="I255" s="48"/>
      <c r="R255" s="48"/>
      <c r="S255" s="48"/>
      <c r="T255" s="53"/>
      <c r="V255" s="53"/>
      <c r="W255" s="53"/>
      <c r="X255" s="53"/>
      <c r="Y255" s="48"/>
    </row>
    <row r="256" spans="1:25" ht="12.75">
      <c r="A256" s="16"/>
      <c r="C256" s="56"/>
      <c r="D256" s="57"/>
      <c r="E256" s="57"/>
      <c r="F256" s="57"/>
      <c r="I256" s="48"/>
      <c r="R256" s="48"/>
      <c r="S256" s="48"/>
      <c r="T256" s="53"/>
      <c r="V256" s="53"/>
      <c r="W256" s="53"/>
      <c r="X256" s="53"/>
      <c r="Y256" s="48"/>
    </row>
    <row r="257" spans="1:25" ht="12.75">
      <c r="A257" s="16"/>
      <c r="C257" s="56"/>
      <c r="D257" s="57"/>
      <c r="E257" s="57"/>
      <c r="F257" s="57"/>
      <c r="I257" s="48"/>
      <c r="R257" s="48"/>
      <c r="S257" s="48"/>
      <c r="T257" s="53"/>
      <c r="V257" s="53"/>
      <c r="W257" s="53"/>
      <c r="X257" s="53"/>
      <c r="Y257" s="48"/>
    </row>
    <row r="258" spans="1:25" ht="12.75">
      <c r="A258" s="16"/>
      <c r="C258" s="56"/>
      <c r="D258" s="57"/>
      <c r="E258" s="57"/>
      <c r="F258" s="57"/>
      <c r="I258" s="48"/>
      <c r="R258" s="48"/>
      <c r="S258" s="48"/>
      <c r="T258" s="53"/>
      <c r="V258" s="53"/>
      <c r="W258" s="53"/>
      <c r="X258" s="53"/>
      <c r="Y258" s="48"/>
    </row>
    <row r="259" spans="1:25" ht="12.75">
      <c r="A259" s="16"/>
      <c r="C259" s="56"/>
      <c r="D259" s="57"/>
      <c r="E259" s="57"/>
      <c r="F259" s="57"/>
      <c r="I259" s="48"/>
      <c r="R259" s="48"/>
      <c r="S259" s="48"/>
      <c r="T259" s="53"/>
      <c r="V259" s="53"/>
      <c r="W259" s="53"/>
      <c r="X259" s="53"/>
      <c r="Y259" s="48"/>
    </row>
    <row r="260" spans="1:25" ht="12.75">
      <c r="A260" s="16"/>
      <c r="C260" s="56"/>
      <c r="D260" s="57"/>
      <c r="E260" s="57"/>
      <c r="F260" s="57"/>
      <c r="I260" s="48"/>
      <c r="R260" s="48"/>
      <c r="S260" s="48"/>
      <c r="T260" s="53"/>
      <c r="V260" s="53"/>
      <c r="W260" s="53"/>
      <c r="X260" s="53"/>
      <c r="Y260" s="48"/>
    </row>
    <row r="261" spans="1:25" ht="12.75">
      <c r="A261" s="16"/>
      <c r="C261" s="56"/>
      <c r="D261" s="57"/>
      <c r="E261" s="57"/>
      <c r="F261" s="57"/>
      <c r="I261" s="48"/>
      <c r="R261" s="48"/>
      <c r="S261" s="48"/>
      <c r="T261" s="53"/>
      <c r="V261" s="53"/>
      <c r="W261" s="53"/>
      <c r="X261" s="53"/>
      <c r="Y261" s="48"/>
    </row>
    <row r="262" spans="1:25" ht="12.75">
      <c r="A262" s="16"/>
      <c r="C262" s="56"/>
      <c r="D262" s="57"/>
      <c r="E262" s="57"/>
      <c r="F262" s="57"/>
      <c r="I262" s="48"/>
      <c r="R262" s="48"/>
      <c r="S262" s="48"/>
      <c r="T262" s="53"/>
      <c r="V262" s="53"/>
      <c r="W262" s="53"/>
      <c r="X262" s="53"/>
      <c r="Y262" s="48"/>
    </row>
    <row r="263" spans="1:25" ht="12.75">
      <c r="A263" s="16"/>
      <c r="C263" s="56"/>
      <c r="D263" s="57"/>
      <c r="E263" s="57"/>
      <c r="F263" s="57"/>
      <c r="I263" s="48"/>
      <c r="R263" s="48"/>
      <c r="S263" s="48"/>
      <c r="T263" s="53"/>
      <c r="V263" s="53"/>
      <c r="W263" s="53"/>
      <c r="X263" s="53"/>
      <c r="Y263" s="48"/>
    </row>
    <row r="264" spans="1:25" ht="12.75">
      <c r="A264" s="16"/>
      <c r="C264" s="56"/>
      <c r="D264" s="57"/>
      <c r="E264" s="57"/>
      <c r="F264" s="57"/>
      <c r="I264" s="48"/>
      <c r="R264" s="48"/>
      <c r="S264" s="48"/>
      <c r="T264" s="53"/>
      <c r="V264" s="53"/>
      <c r="W264" s="53"/>
      <c r="X264" s="53"/>
      <c r="Y264" s="48"/>
    </row>
    <row r="265" spans="1:25" ht="12.75">
      <c r="A265" s="16"/>
      <c r="C265" s="56"/>
      <c r="D265" s="57"/>
      <c r="E265" s="57"/>
      <c r="F265" s="57"/>
      <c r="I265" s="48"/>
      <c r="R265" s="48"/>
      <c r="S265" s="48"/>
      <c r="T265" s="53"/>
      <c r="V265" s="53"/>
      <c r="W265" s="53"/>
      <c r="X265" s="53"/>
      <c r="Y265" s="48"/>
    </row>
    <row r="266" spans="1:25" ht="12.75">
      <c r="A266" s="16"/>
      <c r="C266" s="56"/>
      <c r="D266" s="57"/>
      <c r="E266" s="57"/>
      <c r="F266" s="57"/>
      <c r="I266" s="48"/>
      <c r="R266" s="48"/>
      <c r="S266" s="48"/>
      <c r="T266" s="53"/>
      <c r="V266" s="53"/>
      <c r="W266" s="53"/>
      <c r="X266" s="53"/>
      <c r="Y266" s="48"/>
    </row>
    <row r="267" spans="1:25" ht="12.75">
      <c r="A267" s="16"/>
      <c r="C267" s="56"/>
      <c r="D267" s="57"/>
      <c r="E267" s="57"/>
      <c r="F267" s="57"/>
      <c r="I267" s="48"/>
      <c r="R267" s="48"/>
      <c r="S267" s="48"/>
      <c r="T267" s="53"/>
      <c r="V267" s="53"/>
      <c r="W267" s="53"/>
      <c r="X267" s="53"/>
      <c r="Y267" s="48"/>
    </row>
    <row r="268" spans="1:25" ht="12.75">
      <c r="A268" s="16"/>
      <c r="C268" s="56"/>
      <c r="D268" s="57"/>
      <c r="E268" s="57"/>
      <c r="F268" s="57"/>
      <c r="I268" s="48"/>
      <c r="R268" s="48"/>
      <c r="S268" s="48"/>
      <c r="T268" s="53"/>
      <c r="V268" s="53"/>
      <c r="W268" s="53"/>
      <c r="X268" s="53"/>
      <c r="Y268" s="48"/>
    </row>
    <row r="269" spans="1:25" ht="12.75">
      <c r="A269" s="16"/>
      <c r="C269" s="56"/>
      <c r="D269" s="57"/>
      <c r="E269" s="57"/>
      <c r="F269" s="57"/>
      <c r="I269" s="48"/>
      <c r="R269" s="48"/>
      <c r="S269" s="48"/>
      <c r="T269" s="53"/>
      <c r="V269" s="53"/>
      <c r="W269" s="53"/>
      <c r="X269" s="53"/>
      <c r="Y269" s="48"/>
    </row>
    <row r="270" spans="1:25" ht="12.75">
      <c r="A270" s="16"/>
      <c r="C270" s="56"/>
      <c r="D270" s="57"/>
      <c r="E270" s="57"/>
      <c r="F270" s="57"/>
      <c r="I270" s="48"/>
      <c r="R270" s="48"/>
      <c r="S270" s="48"/>
      <c r="T270" s="53"/>
      <c r="V270" s="53"/>
      <c r="W270" s="53"/>
      <c r="X270" s="53"/>
      <c r="Y270" s="48"/>
    </row>
    <row r="271" spans="1:25" ht="12.75">
      <c r="A271" s="16"/>
      <c r="C271" s="56"/>
      <c r="D271" s="57"/>
      <c r="E271" s="57"/>
      <c r="F271" s="57"/>
      <c r="I271" s="48"/>
      <c r="R271" s="48"/>
      <c r="S271" s="48"/>
      <c r="T271" s="53"/>
      <c r="V271" s="53"/>
      <c r="W271" s="53"/>
      <c r="X271" s="53"/>
      <c r="Y271" s="48"/>
    </row>
    <row r="272" spans="1:25" ht="12.75">
      <c r="A272" s="16"/>
      <c r="C272" s="56"/>
      <c r="D272" s="57"/>
      <c r="E272" s="57"/>
      <c r="F272" s="57"/>
      <c r="I272" s="48"/>
      <c r="R272" s="48"/>
      <c r="S272" s="48"/>
      <c r="T272" s="53"/>
      <c r="V272" s="53"/>
      <c r="W272" s="53"/>
      <c r="X272" s="53"/>
      <c r="Y272" s="48"/>
    </row>
    <row r="273" spans="1:25" ht="12.75">
      <c r="A273" s="16"/>
      <c r="C273" s="56"/>
      <c r="D273" s="57"/>
      <c r="E273" s="57"/>
      <c r="F273" s="57"/>
      <c r="I273" s="48"/>
      <c r="R273" s="48"/>
      <c r="S273" s="48"/>
      <c r="T273" s="53"/>
      <c r="V273" s="53"/>
      <c r="W273" s="53"/>
      <c r="X273" s="53"/>
      <c r="Y273" s="48"/>
    </row>
    <row r="274" spans="1:25" ht="12.75">
      <c r="A274" s="16"/>
      <c r="C274" s="56"/>
      <c r="D274" s="57"/>
      <c r="E274" s="57"/>
      <c r="F274" s="57"/>
      <c r="I274" s="48"/>
      <c r="R274" s="48"/>
      <c r="S274" s="48"/>
      <c r="T274" s="53"/>
      <c r="V274" s="53"/>
      <c r="W274" s="53"/>
      <c r="X274" s="53"/>
      <c r="Y274" s="48"/>
    </row>
    <row r="275" spans="1:25" ht="12.75">
      <c r="A275" s="16"/>
      <c r="C275" s="56"/>
      <c r="D275" s="57"/>
      <c r="E275" s="57"/>
      <c r="F275" s="57"/>
      <c r="I275" s="48"/>
      <c r="R275" s="48"/>
      <c r="S275" s="48"/>
      <c r="T275" s="53"/>
      <c r="V275" s="53"/>
      <c r="W275" s="53"/>
      <c r="X275" s="53"/>
      <c r="Y275" s="48"/>
    </row>
    <row r="276" spans="1:25" ht="12.75">
      <c r="A276" s="16"/>
      <c r="C276" s="56"/>
      <c r="D276" s="57"/>
      <c r="E276" s="57"/>
      <c r="F276" s="57"/>
      <c r="I276" s="48"/>
      <c r="R276" s="48"/>
      <c r="S276" s="48"/>
      <c r="T276" s="53"/>
      <c r="V276" s="53"/>
      <c r="W276" s="53"/>
      <c r="X276" s="53"/>
      <c r="Y276" s="48"/>
    </row>
    <row r="277" spans="1:25" ht="12.75">
      <c r="A277" s="16"/>
      <c r="C277" s="56"/>
      <c r="D277" s="57"/>
      <c r="E277" s="57"/>
      <c r="F277" s="57"/>
      <c r="I277" s="48"/>
      <c r="R277" s="48"/>
      <c r="S277" s="48"/>
      <c r="T277" s="53"/>
      <c r="V277" s="53"/>
      <c r="W277" s="53"/>
      <c r="X277" s="53"/>
      <c r="Y277" s="48"/>
    </row>
    <row r="278" spans="1:25" ht="12.75">
      <c r="A278" s="16"/>
      <c r="C278" s="56"/>
      <c r="D278" s="57"/>
      <c r="E278" s="57"/>
      <c r="F278" s="57"/>
      <c r="I278" s="48"/>
      <c r="R278" s="48"/>
      <c r="S278" s="48"/>
      <c r="T278" s="53"/>
      <c r="V278" s="53"/>
      <c r="W278" s="53"/>
      <c r="X278" s="53"/>
      <c r="Y278" s="48"/>
    </row>
    <row r="279" spans="1:25" ht="12.75">
      <c r="A279" s="16"/>
      <c r="C279" s="56"/>
      <c r="D279" s="57"/>
      <c r="E279" s="57"/>
      <c r="F279" s="57"/>
      <c r="I279" s="48"/>
      <c r="R279" s="48"/>
      <c r="S279" s="48"/>
      <c r="T279" s="53"/>
      <c r="V279" s="53"/>
      <c r="W279" s="53"/>
      <c r="X279" s="53"/>
      <c r="Y279" s="48"/>
    </row>
    <row r="280" spans="1:25" ht="12.75">
      <c r="A280" s="16"/>
      <c r="C280" s="56"/>
      <c r="D280" s="57"/>
      <c r="E280" s="57"/>
      <c r="F280" s="57"/>
      <c r="I280" s="48"/>
      <c r="R280" s="48"/>
      <c r="S280" s="48"/>
      <c r="T280" s="53"/>
      <c r="V280" s="53"/>
      <c r="W280" s="53"/>
      <c r="X280" s="53"/>
      <c r="Y280" s="48"/>
    </row>
    <row r="281" spans="1:25" ht="12.75">
      <c r="A281" s="16"/>
      <c r="C281" s="56"/>
      <c r="D281" s="57"/>
      <c r="E281" s="57"/>
      <c r="F281" s="57"/>
      <c r="I281" s="48"/>
      <c r="R281" s="48"/>
      <c r="S281" s="48"/>
      <c r="T281" s="53"/>
      <c r="V281" s="53"/>
      <c r="W281" s="53"/>
      <c r="X281" s="53"/>
      <c r="Y281" s="48"/>
    </row>
    <row r="282" spans="1:25" ht="12.75">
      <c r="A282" s="16"/>
      <c r="C282" s="56"/>
      <c r="D282" s="57"/>
      <c r="E282" s="57"/>
      <c r="F282" s="57"/>
      <c r="I282" s="48"/>
      <c r="R282" s="48"/>
      <c r="S282" s="48"/>
      <c r="T282" s="53"/>
      <c r="V282" s="53"/>
      <c r="W282" s="53"/>
      <c r="X282" s="53"/>
      <c r="Y282" s="48"/>
    </row>
    <row r="283" spans="1:25" ht="12.75">
      <c r="A283" s="16"/>
      <c r="C283" s="56"/>
      <c r="D283" s="57"/>
      <c r="E283" s="57"/>
      <c r="F283" s="57"/>
      <c r="I283" s="48"/>
      <c r="R283" s="48"/>
      <c r="S283" s="48"/>
      <c r="T283" s="53"/>
      <c r="V283" s="53"/>
      <c r="W283" s="53"/>
      <c r="X283" s="53"/>
      <c r="Y283" s="48"/>
    </row>
    <row r="284" spans="1:25" ht="12.75">
      <c r="A284" s="16"/>
      <c r="C284" s="56"/>
      <c r="D284" s="57"/>
      <c r="E284" s="57"/>
      <c r="F284" s="57"/>
      <c r="I284" s="48"/>
      <c r="R284" s="48"/>
      <c r="S284" s="48"/>
      <c r="T284" s="53"/>
      <c r="V284" s="53"/>
      <c r="W284" s="53"/>
      <c r="X284" s="53"/>
      <c r="Y284" s="48"/>
    </row>
    <row r="285" spans="1:25" ht="12.75">
      <c r="A285" s="16"/>
      <c r="C285" s="56"/>
      <c r="D285" s="57"/>
      <c r="E285" s="57"/>
      <c r="F285" s="57"/>
      <c r="I285" s="48"/>
      <c r="R285" s="48"/>
      <c r="S285" s="48"/>
      <c r="T285" s="53"/>
      <c r="V285" s="53"/>
      <c r="W285" s="53"/>
      <c r="X285" s="53"/>
      <c r="Y285" s="48"/>
    </row>
    <row r="286" spans="1:25" ht="12.75">
      <c r="A286" s="16"/>
      <c r="C286" s="56"/>
      <c r="D286" s="57"/>
      <c r="E286" s="57"/>
      <c r="F286" s="57"/>
      <c r="I286" s="48"/>
      <c r="R286" s="48"/>
      <c r="S286" s="48"/>
      <c r="T286" s="53"/>
      <c r="V286" s="53"/>
      <c r="W286" s="53"/>
      <c r="X286" s="53"/>
      <c r="Y286" s="48"/>
    </row>
    <row r="287" spans="1:25" ht="12.75">
      <c r="A287" s="16"/>
      <c r="C287" s="56"/>
      <c r="D287" s="57"/>
      <c r="E287" s="57"/>
      <c r="F287" s="57"/>
      <c r="I287" s="48"/>
      <c r="R287" s="48"/>
      <c r="S287" s="48"/>
      <c r="T287" s="53"/>
      <c r="V287" s="53"/>
      <c r="W287" s="53"/>
      <c r="X287" s="53"/>
      <c r="Y287" s="48"/>
    </row>
    <row r="288" spans="1:25" ht="12.75">
      <c r="A288" s="16"/>
      <c r="C288" s="56"/>
      <c r="D288" s="57"/>
      <c r="E288" s="57"/>
      <c r="F288" s="57"/>
      <c r="I288" s="48"/>
      <c r="R288" s="48"/>
      <c r="S288" s="48"/>
      <c r="T288" s="53"/>
      <c r="V288" s="53"/>
      <c r="W288" s="53"/>
      <c r="X288" s="53"/>
      <c r="Y288" s="48"/>
    </row>
    <row r="289" spans="1:25" ht="12.75">
      <c r="A289" s="16"/>
      <c r="C289" s="56"/>
      <c r="D289" s="57"/>
      <c r="E289" s="57"/>
      <c r="F289" s="57"/>
      <c r="I289" s="48"/>
      <c r="R289" s="48"/>
      <c r="S289" s="48"/>
      <c r="T289" s="53"/>
      <c r="V289" s="53"/>
      <c r="W289" s="53"/>
      <c r="X289" s="53"/>
      <c r="Y289" s="48"/>
    </row>
    <row r="290" spans="1:25" ht="12.75">
      <c r="A290" s="16"/>
      <c r="C290" s="56"/>
      <c r="D290" s="57"/>
      <c r="E290" s="57"/>
      <c r="F290" s="57"/>
      <c r="I290" s="48"/>
      <c r="R290" s="48"/>
      <c r="S290" s="48"/>
      <c r="T290" s="53"/>
      <c r="V290" s="53"/>
      <c r="W290" s="53"/>
      <c r="X290" s="53"/>
      <c r="Y290" s="48"/>
    </row>
    <row r="291" spans="1:25" ht="12.75">
      <c r="A291" s="16"/>
      <c r="C291" s="56"/>
      <c r="D291" s="57"/>
      <c r="E291" s="57"/>
      <c r="F291" s="57"/>
      <c r="I291" s="48"/>
      <c r="R291" s="48"/>
      <c r="S291" s="48"/>
      <c r="T291" s="53"/>
      <c r="V291" s="53"/>
      <c r="W291" s="53"/>
      <c r="X291" s="53"/>
      <c r="Y291" s="48"/>
    </row>
    <row r="292" spans="1:25" ht="12.75">
      <c r="A292" s="16"/>
      <c r="C292" s="56"/>
      <c r="D292" s="57"/>
      <c r="E292" s="57"/>
      <c r="F292" s="57"/>
      <c r="I292" s="48"/>
      <c r="R292" s="48"/>
      <c r="S292" s="48"/>
      <c r="T292" s="53"/>
      <c r="V292" s="53"/>
      <c r="W292" s="53"/>
      <c r="X292" s="53"/>
      <c r="Y292" s="48"/>
    </row>
    <row r="293" spans="1:25" ht="12.75">
      <c r="A293" s="16"/>
      <c r="C293" s="56"/>
      <c r="D293" s="57"/>
      <c r="E293" s="57"/>
      <c r="F293" s="57"/>
      <c r="I293" s="48"/>
      <c r="R293" s="48"/>
      <c r="S293" s="48"/>
      <c r="T293" s="53"/>
      <c r="V293" s="53"/>
      <c r="W293" s="53"/>
      <c r="X293" s="53"/>
      <c r="Y293" s="48"/>
    </row>
    <row r="294" spans="1:25" ht="12.75">
      <c r="A294" s="16"/>
      <c r="C294" s="56"/>
      <c r="D294" s="57"/>
      <c r="E294" s="57"/>
      <c r="F294" s="57"/>
      <c r="I294" s="48"/>
      <c r="R294" s="48"/>
      <c r="S294" s="48"/>
      <c r="T294" s="53"/>
      <c r="V294" s="53"/>
      <c r="W294" s="53"/>
      <c r="X294" s="53"/>
      <c r="Y294" s="48"/>
    </row>
    <row r="295" spans="1:25" ht="12.75">
      <c r="A295" s="16"/>
      <c r="C295" s="56"/>
      <c r="D295" s="57"/>
      <c r="E295" s="57"/>
      <c r="F295" s="57"/>
      <c r="I295" s="48"/>
      <c r="R295" s="48"/>
      <c r="S295" s="48"/>
      <c r="T295" s="53"/>
      <c r="V295" s="53"/>
      <c r="W295" s="53"/>
      <c r="X295" s="53"/>
      <c r="Y295" s="48"/>
    </row>
    <row r="296" spans="1:25" ht="12.75">
      <c r="A296" s="16"/>
      <c r="C296" s="56"/>
      <c r="D296" s="57"/>
      <c r="E296" s="57"/>
      <c r="F296" s="57"/>
      <c r="I296" s="48"/>
      <c r="R296" s="48"/>
      <c r="S296" s="48"/>
      <c r="T296" s="53"/>
      <c r="V296" s="53"/>
      <c r="W296" s="53"/>
      <c r="X296" s="53"/>
      <c r="Y296" s="48"/>
    </row>
    <row r="297" spans="1:25" ht="12.75">
      <c r="A297" s="16"/>
      <c r="C297" s="56"/>
      <c r="D297" s="57"/>
      <c r="E297" s="57"/>
      <c r="F297" s="57"/>
      <c r="I297" s="48"/>
      <c r="R297" s="48"/>
      <c r="S297" s="48"/>
      <c r="T297" s="53"/>
      <c r="V297" s="53"/>
      <c r="W297" s="53"/>
      <c r="X297" s="53"/>
      <c r="Y297" s="48"/>
    </row>
    <row r="298" spans="1:25" ht="12.75">
      <c r="A298" s="16"/>
      <c r="C298" s="56"/>
      <c r="D298" s="57"/>
      <c r="E298" s="57"/>
      <c r="F298" s="57"/>
      <c r="I298" s="48"/>
      <c r="R298" s="48"/>
      <c r="S298" s="48"/>
      <c r="T298" s="53"/>
      <c r="V298" s="53"/>
      <c r="W298" s="53"/>
      <c r="X298" s="53"/>
      <c r="Y298" s="48"/>
    </row>
    <row r="299" spans="1:25" ht="12.75">
      <c r="A299" s="16"/>
      <c r="C299" s="56"/>
      <c r="D299" s="57"/>
      <c r="E299" s="57"/>
      <c r="F299" s="57"/>
      <c r="I299" s="48"/>
      <c r="R299" s="48"/>
      <c r="S299" s="48"/>
      <c r="T299" s="53"/>
      <c r="V299" s="53"/>
      <c r="W299" s="53"/>
      <c r="X299" s="53"/>
      <c r="Y299" s="48"/>
    </row>
    <row r="300" spans="1:25" ht="12.75">
      <c r="A300" s="16"/>
      <c r="C300" s="56"/>
      <c r="D300" s="57"/>
      <c r="E300" s="57"/>
      <c r="F300" s="57"/>
      <c r="I300" s="48"/>
      <c r="R300" s="48"/>
      <c r="S300" s="48"/>
      <c r="T300" s="53"/>
      <c r="V300" s="53"/>
      <c r="W300" s="53"/>
      <c r="X300" s="53"/>
      <c r="Y300" s="48"/>
    </row>
    <row r="301" spans="1:25" ht="12.75">
      <c r="A301" s="16"/>
      <c r="C301" s="56"/>
      <c r="D301" s="57"/>
      <c r="E301" s="57"/>
      <c r="F301" s="57"/>
      <c r="I301" s="48"/>
      <c r="R301" s="48"/>
      <c r="S301" s="48"/>
      <c r="T301" s="53"/>
      <c r="V301" s="53"/>
      <c r="W301" s="53"/>
      <c r="X301" s="53"/>
      <c r="Y301" s="48"/>
    </row>
    <row r="302" spans="1:25" ht="12.75">
      <c r="A302" s="16"/>
      <c r="C302" s="56"/>
      <c r="D302" s="57"/>
      <c r="E302" s="57"/>
      <c r="F302" s="57"/>
      <c r="I302" s="48"/>
      <c r="R302" s="48"/>
      <c r="S302" s="48"/>
      <c r="T302" s="53"/>
      <c r="V302" s="53"/>
      <c r="W302" s="53"/>
      <c r="X302" s="53"/>
      <c r="Y302" s="48"/>
    </row>
    <row r="303" spans="1:25" ht="12.75">
      <c r="A303" s="16"/>
      <c r="C303" s="56"/>
      <c r="D303" s="57"/>
      <c r="E303" s="57"/>
      <c r="F303" s="57"/>
      <c r="I303" s="48"/>
      <c r="R303" s="48"/>
      <c r="S303" s="48"/>
      <c r="T303" s="53"/>
      <c r="V303" s="53"/>
      <c r="W303" s="53"/>
      <c r="X303" s="53"/>
      <c r="Y303" s="48"/>
    </row>
    <row r="304" spans="1:25" ht="12.75">
      <c r="A304" s="16"/>
      <c r="C304" s="56"/>
      <c r="D304" s="57"/>
      <c r="E304" s="57"/>
      <c r="F304" s="57"/>
      <c r="I304" s="48"/>
      <c r="R304" s="48"/>
      <c r="S304" s="48"/>
      <c r="T304" s="53"/>
      <c r="V304" s="53"/>
      <c r="W304" s="53"/>
      <c r="X304" s="53"/>
      <c r="Y304" s="48"/>
    </row>
    <row r="305" spans="1:25" ht="12.75">
      <c r="A305" s="16"/>
      <c r="C305" s="56"/>
      <c r="D305" s="57"/>
      <c r="E305" s="57"/>
      <c r="F305" s="57"/>
      <c r="I305" s="48"/>
      <c r="R305" s="48"/>
      <c r="S305" s="48"/>
      <c r="T305" s="53"/>
      <c r="V305" s="53"/>
      <c r="W305" s="53"/>
      <c r="X305" s="53"/>
      <c r="Y305" s="48"/>
    </row>
    <row r="306" spans="1:25" ht="12.75">
      <c r="A306" s="16"/>
      <c r="R306" s="48"/>
      <c r="S306" s="48"/>
      <c r="T306" s="53"/>
      <c r="V306" s="53"/>
      <c r="W306" s="53"/>
      <c r="X306" s="53"/>
      <c r="Y306" s="48"/>
    </row>
    <row r="307" spans="1:25" ht="12.75">
      <c r="A307" s="16"/>
      <c r="R307" s="48"/>
      <c r="S307" s="48"/>
      <c r="T307" s="53"/>
      <c r="V307" s="53"/>
      <c r="W307" s="53"/>
      <c r="X307" s="53"/>
      <c r="Y307" s="48"/>
    </row>
    <row r="308" spans="1:25" ht="12.75">
      <c r="A308" s="16"/>
      <c r="R308" s="48"/>
      <c r="S308" s="48"/>
      <c r="T308" s="53"/>
      <c r="V308" s="53"/>
      <c r="W308" s="53"/>
      <c r="X308" s="53"/>
      <c r="Y308" s="48"/>
    </row>
    <row r="309" spans="1:25" ht="12.75">
      <c r="A309" s="16"/>
      <c r="R309" s="48"/>
      <c r="S309" s="48"/>
      <c r="T309" s="53"/>
      <c r="V309" s="53"/>
      <c r="W309" s="53"/>
      <c r="X309" s="53"/>
      <c r="Y309" s="48"/>
    </row>
    <row r="310" spans="1:25" ht="12.75">
      <c r="A310" s="16"/>
      <c r="C310" s="56"/>
      <c r="D310" s="57"/>
      <c r="E310" s="57"/>
      <c r="F310" s="57"/>
      <c r="G310" s="48"/>
      <c r="H310" s="48"/>
      <c r="I310" s="48"/>
      <c r="J310" s="48"/>
      <c r="K310" s="48"/>
      <c r="L310" s="48"/>
      <c r="M310" s="48"/>
      <c r="N310" s="48"/>
      <c r="O310" s="48"/>
      <c r="P310" s="48"/>
      <c r="Q310" s="48"/>
      <c r="R310" s="48"/>
      <c r="S310" s="48"/>
      <c r="T310" s="53"/>
      <c r="V310" s="53"/>
      <c r="W310" s="53"/>
      <c r="X310" s="53"/>
      <c r="Y310" s="48"/>
    </row>
    <row r="311" spans="1:25" ht="12.75">
      <c r="A311" s="16"/>
      <c r="C311" s="56"/>
      <c r="D311" s="57"/>
      <c r="E311" s="57"/>
      <c r="F311" s="57"/>
      <c r="G311" s="48"/>
      <c r="H311" s="48"/>
      <c r="I311" s="48"/>
      <c r="J311" s="48"/>
      <c r="K311" s="48"/>
      <c r="L311" s="48"/>
      <c r="M311" s="48"/>
      <c r="N311" s="48"/>
      <c r="O311" s="48"/>
      <c r="P311" s="48"/>
      <c r="Q311" s="48"/>
      <c r="R311" s="48"/>
      <c r="S311" s="48"/>
      <c r="T311" s="53"/>
      <c r="V311" s="53"/>
      <c r="W311" s="53"/>
      <c r="X311" s="53"/>
      <c r="Y311" s="48"/>
    </row>
    <row r="312" spans="1:25" ht="12.75">
      <c r="A312" s="16"/>
      <c r="C312" s="56"/>
      <c r="D312" s="57"/>
      <c r="E312" s="57"/>
      <c r="F312" s="57"/>
      <c r="G312" s="48"/>
      <c r="H312" s="48"/>
      <c r="I312" s="48"/>
      <c r="J312" s="48"/>
      <c r="K312" s="48"/>
      <c r="L312" s="48"/>
      <c r="M312" s="48"/>
      <c r="N312" s="48"/>
      <c r="O312" s="48"/>
      <c r="P312" s="48"/>
      <c r="Q312" s="48"/>
      <c r="R312" s="48"/>
      <c r="S312" s="48"/>
      <c r="T312" s="53"/>
      <c r="V312" s="53"/>
      <c r="W312" s="53"/>
      <c r="X312" s="53"/>
      <c r="Y312" s="48"/>
    </row>
    <row r="313" spans="1:25" ht="12.75">
      <c r="A313" s="16"/>
      <c r="C313" s="56"/>
      <c r="D313" s="57"/>
      <c r="E313" s="57"/>
      <c r="F313" s="57"/>
      <c r="G313" s="48"/>
      <c r="H313" s="48"/>
      <c r="I313" s="48"/>
      <c r="J313" s="48"/>
      <c r="K313" s="48"/>
      <c r="L313" s="48"/>
      <c r="M313" s="48"/>
      <c r="N313" s="48"/>
      <c r="O313" s="48"/>
      <c r="P313" s="48"/>
      <c r="Q313" s="48"/>
      <c r="R313" s="48"/>
      <c r="S313" s="48"/>
      <c r="T313" s="53"/>
      <c r="V313" s="53"/>
      <c r="W313" s="53"/>
      <c r="X313" s="53"/>
      <c r="Y313" s="48"/>
    </row>
    <row r="314" spans="1:25" ht="12.75">
      <c r="A314" s="16"/>
      <c r="C314" s="56"/>
      <c r="D314" s="57"/>
      <c r="E314" s="57"/>
      <c r="F314" s="57"/>
      <c r="G314" s="48"/>
      <c r="H314" s="48"/>
      <c r="I314" s="48"/>
      <c r="J314" s="48"/>
      <c r="K314" s="48"/>
      <c r="L314" s="48"/>
      <c r="M314" s="48"/>
      <c r="N314" s="48"/>
      <c r="O314" s="48"/>
      <c r="P314" s="48"/>
      <c r="Q314" s="48"/>
      <c r="R314" s="48"/>
      <c r="S314" s="48"/>
      <c r="T314" s="53"/>
      <c r="V314" s="53"/>
      <c r="W314" s="53"/>
      <c r="X314" s="53"/>
      <c r="Y314" s="48"/>
    </row>
    <row r="315" spans="1:25" ht="12.75">
      <c r="A315" s="16"/>
      <c r="C315" s="56"/>
      <c r="D315" s="57"/>
      <c r="E315" s="57"/>
      <c r="F315" s="57"/>
      <c r="G315" s="48"/>
      <c r="H315" s="48"/>
      <c r="I315" s="48"/>
      <c r="J315" s="48"/>
      <c r="K315" s="48"/>
      <c r="L315" s="48"/>
      <c r="M315" s="48"/>
      <c r="N315" s="48"/>
      <c r="O315" s="48"/>
      <c r="P315" s="48"/>
      <c r="Q315" s="48"/>
      <c r="R315" s="48"/>
      <c r="S315" s="48"/>
      <c r="T315" s="53"/>
      <c r="V315" s="53"/>
      <c r="W315" s="53"/>
      <c r="X315" s="53"/>
      <c r="Y315" s="48"/>
    </row>
    <row r="316" spans="1:25" ht="12.75">
      <c r="A316" s="16"/>
      <c r="C316" s="56"/>
      <c r="D316" s="57"/>
      <c r="E316" s="57"/>
      <c r="F316" s="57"/>
      <c r="G316" s="48"/>
      <c r="H316" s="48"/>
      <c r="I316" s="48"/>
      <c r="J316" s="48"/>
      <c r="K316" s="48"/>
      <c r="L316" s="48"/>
      <c r="M316" s="48"/>
      <c r="N316" s="48"/>
      <c r="O316" s="48"/>
      <c r="P316" s="48"/>
      <c r="Q316" s="48"/>
      <c r="R316" s="48"/>
      <c r="S316" s="48"/>
      <c r="T316" s="53"/>
      <c r="V316" s="53"/>
      <c r="W316" s="53"/>
      <c r="X316" s="53"/>
      <c r="Y316" s="48"/>
    </row>
    <row r="317" spans="1:25" ht="12.75">
      <c r="A317" s="16"/>
      <c r="C317" s="56"/>
      <c r="D317" s="57"/>
      <c r="E317" s="57"/>
      <c r="F317" s="57"/>
      <c r="G317" s="48"/>
      <c r="H317" s="48"/>
      <c r="I317" s="48"/>
      <c r="J317" s="48"/>
      <c r="K317" s="48"/>
      <c r="L317" s="48"/>
      <c r="M317" s="48"/>
      <c r="N317" s="48"/>
      <c r="O317" s="48"/>
      <c r="P317" s="48"/>
      <c r="Q317" s="48"/>
      <c r="R317" s="48"/>
      <c r="S317" s="48"/>
      <c r="T317" s="53"/>
      <c r="V317" s="53"/>
      <c r="W317" s="53"/>
      <c r="X317" s="53"/>
      <c r="Y317" s="48"/>
    </row>
    <row r="318" spans="1:25" ht="12.75">
      <c r="A318" s="16"/>
      <c r="C318" s="56"/>
      <c r="D318" s="57"/>
      <c r="E318" s="57"/>
      <c r="F318" s="57"/>
      <c r="G318" s="48"/>
      <c r="H318" s="48"/>
      <c r="I318" s="48"/>
      <c r="J318" s="48"/>
      <c r="K318" s="48"/>
      <c r="L318" s="48"/>
      <c r="M318" s="48"/>
      <c r="N318" s="48"/>
      <c r="O318" s="48"/>
      <c r="P318" s="48"/>
      <c r="Q318" s="48"/>
      <c r="R318" s="48"/>
      <c r="S318" s="48"/>
      <c r="T318" s="53"/>
      <c r="V318" s="53"/>
      <c r="W318" s="53"/>
      <c r="X318" s="53"/>
      <c r="Y318" s="48"/>
    </row>
    <row r="319" spans="1:25" ht="12.75">
      <c r="A319" s="16"/>
      <c r="C319" s="56"/>
      <c r="D319" s="57"/>
      <c r="E319" s="57"/>
      <c r="F319" s="57"/>
      <c r="G319" s="48"/>
      <c r="H319" s="48"/>
      <c r="I319" s="48"/>
      <c r="J319" s="48"/>
      <c r="K319" s="48"/>
      <c r="L319" s="48"/>
      <c r="M319" s="48"/>
      <c r="N319" s="48"/>
      <c r="O319" s="48"/>
      <c r="P319" s="48"/>
      <c r="Q319" s="48"/>
      <c r="R319" s="48"/>
      <c r="S319" s="48"/>
      <c r="T319" s="53"/>
      <c r="V319" s="53"/>
      <c r="W319" s="53"/>
      <c r="X319" s="53"/>
      <c r="Y319" s="48"/>
    </row>
    <row r="320" spans="1:25" ht="12.75">
      <c r="A320" s="16"/>
      <c r="C320" s="56"/>
      <c r="D320" s="57"/>
      <c r="E320" s="57"/>
      <c r="F320" s="57"/>
      <c r="G320" s="48"/>
      <c r="H320" s="48"/>
      <c r="I320" s="48"/>
      <c r="J320" s="48"/>
      <c r="K320" s="48"/>
      <c r="L320" s="48"/>
      <c r="M320" s="48"/>
      <c r="N320" s="48"/>
      <c r="O320" s="48"/>
      <c r="P320" s="48"/>
      <c r="Q320" s="48"/>
      <c r="R320" s="48"/>
      <c r="S320" s="48"/>
      <c r="T320" s="53"/>
      <c r="V320" s="53"/>
      <c r="W320" s="53"/>
      <c r="X320" s="53"/>
      <c r="Y320" s="48"/>
    </row>
    <row r="321" spans="1:25" ht="12.75">
      <c r="A321" s="16"/>
      <c r="C321" s="56"/>
      <c r="D321" s="57"/>
      <c r="E321" s="57"/>
      <c r="F321" s="57"/>
      <c r="G321" s="48"/>
      <c r="H321" s="48"/>
      <c r="I321" s="48"/>
      <c r="J321" s="48"/>
      <c r="K321" s="48"/>
      <c r="L321" s="48"/>
      <c r="M321" s="48"/>
      <c r="N321" s="48"/>
      <c r="O321" s="48"/>
      <c r="P321" s="48"/>
      <c r="Q321" s="48"/>
      <c r="R321" s="48"/>
      <c r="S321" s="48"/>
      <c r="T321" s="53"/>
      <c r="V321" s="53"/>
      <c r="W321" s="53"/>
      <c r="X321" s="53"/>
      <c r="Y321" s="48"/>
    </row>
    <row r="322" spans="1:25" ht="12.75">
      <c r="A322" s="16"/>
      <c r="C322" s="56"/>
      <c r="D322" s="57"/>
      <c r="E322" s="57"/>
      <c r="F322" s="57"/>
      <c r="G322" s="48"/>
      <c r="H322" s="48"/>
      <c r="I322" s="48"/>
      <c r="J322" s="48"/>
      <c r="K322" s="48"/>
      <c r="L322" s="48"/>
      <c r="M322" s="48"/>
      <c r="N322" s="48"/>
      <c r="O322" s="48"/>
      <c r="P322" s="48"/>
      <c r="Q322" s="48"/>
      <c r="R322" s="48"/>
      <c r="S322" s="48"/>
      <c r="T322" s="53"/>
      <c r="V322" s="53"/>
      <c r="W322" s="53"/>
      <c r="X322" s="53"/>
      <c r="Y322" s="48"/>
    </row>
    <row r="323" spans="1:25" ht="12.75">
      <c r="A323" s="16"/>
      <c r="C323" s="56"/>
      <c r="D323" s="57"/>
      <c r="E323" s="57"/>
      <c r="F323" s="57"/>
      <c r="G323" s="48"/>
      <c r="H323" s="48"/>
      <c r="I323" s="48"/>
      <c r="J323" s="48"/>
      <c r="K323" s="48"/>
      <c r="L323" s="48"/>
      <c r="M323" s="48"/>
      <c r="N323" s="48"/>
      <c r="O323" s="48"/>
      <c r="P323" s="48"/>
      <c r="Q323" s="48"/>
      <c r="R323" s="48"/>
      <c r="S323" s="48"/>
      <c r="T323" s="53"/>
      <c r="V323" s="53"/>
      <c r="W323" s="53"/>
      <c r="X323" s="53"/>
      <c r="Y323" s="48"/>
    </row>
    <row r="324" spans="1:25" ht="12.75">
      <c r="A324" s="16"/>
      <c r="C324" s="56"/>
      <c r="D324" s="57"/>
      <c r="E324" s="57"/>
      <c r="F324" s="57"/>
      <c r="G324" s="48"/>
      <c r="H324" s="48"/>
      <c r="I324" s="48"/>
      <c r="J324" s="48"/>
      <c r="K324" s="48"/>
      <c r="L324" s="48"/>
      <c r="M324" s="48"/>
      <c r="N324" s="48"/>
      <c r="O324" s="48"/>
      <c r="P324" s="48"/>
      <c r="Q324" s="48"/>
      <c r="R324" s="48"/>
      <c r="S324" s="48"/>
      <c r="T324" s="53"/>
      <c r="V324" s="53"/>
      <c r="W324" s="53"/>
      <c r="X324" s="53"/>
      <c r="Y324" s="48"/>
    </row>
    <row r="325" spans="1:25" ht="12.75">
      <c r="A325" s="16"/>
      <c r="C325" s="56"/>
      <c r="D325" s="57"/>
      <c r="E325" s="57"/>
      <c r="F325" s="57"/>
      <c r="G325" s="48"/>
      <c r="H325" s="48"/>
      <c r="I325" s="48"/>
      <c r="J325" s="48"/>
      <c r="K325" s="48"/>
      <c r="L325" s="48"/>
      <c r="M325" s="48"/>
      <c r="N325" s="48"/>
      <c r="O325" s="48"/>
      <c r="P325" s="48"/>
      <c r="Q325" s="48"/>
      <c r="R325" s="48"/>
      <c r="S325" s="48"/>
      <c r="T325" s="53"/>
      <c r="V325" s="53"/>
      <c r="W325" s="53"/>
      <c r="X325" s="53"/>
      <c r="Y325" s="48"/>
    </row>
    <row r="326" spans="1:25" ht="12.75">
      <c r="A326" s="16"/>
      <c r="C326" s="56"/>
      <c r="D326" s="57"/>
      <c r="E326" s="57"/>
      <c r="F326" s="57"/>
      <c r="G326" s="48"/>
      <c r="H326" s="48"/>
      <c r="I326" s="48"/>
      <c r="J326" s="48"/>
      <c r="K326" s="48"/>
      <c r="L326" s="48"/>
      <c r="M326" s="48"/>
      <c r="N326" s="48"/>
      <c r="O326" s="48"/>
      <c r="P326" s="48"/>
      <c r="Q326" s="48"/>
      <c r="R326" s="48"/>
      <c r="S326" s="48"/>
      <c r="T326" s="53"/>
      <c r="V326" s="53"/>
      <c r="W326" s="53"/>
      <c r="X326" s="53"/>
      <c r="Y326" s="48"/>
    </row>
    <row r="327" spans="1:25" ht="12.75">
      <c r="A327" s="16"/>
      <c r="C327" s="56"/>
      <c r="D327" s="57"/>
      <c r="E327" s="57"/>
      <c r="F327" s="57"/>
      <c r="G327" s="48"/>
      <c r="H327" s="48"/>
      <c r="I327" s="48"/>
      <c r="J327" s="48"/>
      <c r="K327" s="48"/>
      <c r="L327" s="48"/>
      <c r="M327" s="48"/>
      <c r="N327" s="48"/>
      <c r="O327" s="48"/>
      <c r="P327" s="48"/>
      <c r="Q327" s="48"/>
      <c r="R327" s="48"/>
      <c r="S327" s="48"/>
      <c r="T327" s="53"/>
      <c r="V327" s="53"/>
      <c r="W327" s="53"/>
      <c r="X327" s="53"/>
      <c r="Y327" s="48"/>
    </row>
    <row r="328" spans="1:25" ht="12.75">
      <c r="A328" s="16"/>
      <c r="C328" s="56"/>
      <c r="D328" s="57"/>
      <c r="E328" s="57"/>
      <c r="F328" s="57"/>
      <c r="G328" s="48"/>
      <c r="H328" s="48"/>
      <c r="I328" s="48"/>
      <c r="J328" s="48"/>
      <c r="K328" s="48"/>
      <c r="L328" s="48"/>
      <c r="M328" s="48"/>
      <c r="N328" s="48"/>
      <c r="O328" s="48"/>
      <c r="P328" s="48"/>
      <c r="Q328" s="48"/>
      <c r="R328" s="48"/>
      <c r="S328" s="48"/>
      <c r="T328" s="53"/>
      <c r="V328" s="53"/>
      <c r="W328" s="53"/>
      <c r="X328" s="53"/>
      <c r="Y328" s="48"/>
    </row>
    <row r="329" spans="1:25" ht="12.75">
      <c r="A329" s="16"/>
      <c r="C329" s="56"/>
      <c r="D329" s="57"/>
      <c r="E329" s="57"/>
      <c r="F329" s="57"/>
      <c r="G329" s="48"/>
      <c r="H329" s="48"/>
      <c r="I329" s="48"/>
      <c r="J329" s="48"/>
      <c r="K329" s="48"/>
      <c r="L329" s="48"/>
      <c r="M329" s="48"/>
      <c r="N329" s="48"/>
      <c r="O329" s="48"/>
      <c r="P329" s="48"/>
      <c r="Q329" s="48"/>
      <c r="R329" s="48"/>
      <c r="S329" s="48"/>
      <c r="T329" s="53"/>
      <c r="V329" s="53"/>
      <c r="W329" s="53"/>
      <c r="X329" s="53"/>
      <c r="Y329" s="48"/>
    </row>
    <row r="330" spans="1:25" ht="12.75">
      <c r="A330" s="16"/>
      <c r="C330" s="56"/>
      <c r="D330" s="57"/>
      <c r="E330" s="57"/>
      <c r="F330" s="57"/>
      <c r="G330" s="48"/>
      <c r="H330" s="48"/>
      <c r="I330" s="48"/>
      <c r="J330" s="48"/>
      <c r="K330" s="48"/>
      <c r="L330" s="48"/>
      <c r="M330" s="48"/>
      <c r="N330" s="48"/>
      <c r="O330" s="48"/>
      <c r="P330" s="48"/>
      <c r="Q330" s="48"/>
      <c r="R330" s="48"/>
      <c r="S330" s="48"/>
      <c r="T330" s="53"/>
      <c r="V330" s="53"/>
      <c r="W330" s="53"/>
      <c r="X330" s="53"/>
      <c r="Y330" s="48"/>
    </row>
    <row r="331" spans="1:25" ht="12.75">
      <c r="A331" s="16"/>
      <c r="C331" s="56"/>
      <c r="D331" s="57"/>
      <c r="E331" s="57"/>
      <c r="F331" s="57"/>
      <c r="G331" s="48"/>
      <c r="H331" s="48"/>
      <c r="I331" s="48"/>
      <c r="J331" s="48"/>
      <c r="K331" s="48"/>
      <c r="L331" s="48"/>
      <c r="M331" s="48"/>
      <c r="N331" s="48"/>
      <c r="O331" s="48"/>
      <c r="P331" s="48"/>
      <c r="Q331" s="48"/>
      <c r="R331" s="48"/>
      <c r="S331" s="48"/>
      <c r="T331" s="53"/>
      <c r="V331" s="53"/>
      <c r="W331" s="53"/>
      <c r="X331" s="53"/>
      <c r="Y331" s="48"/>
    </row>
    <row r="332" spans="1:25" ht="12.75">
      <c r="A332" s="16"/>
      <c r="C332" s="56"/>
      <c r="D332" s="57"/>
      <c r="E332" s="57"/>
      <c r="F332" s="57"/>
      <c r="G332" s="48"/>
      <c r="H332" s="48"/>
      <c r="I332" s="48"/>
      <c r="J332" s="48"/>
      <c r="K332" s="48"/>
      <c r="L332" s="48"/>
      <c r="M332" s="48"/>
      <c r="N332" s="48"/>
      <c r="O332" s="48"/>
      <c r="P332" s="48"/>
      <c r="Q332" s="48"/>
      <c r="R332" s="48"/>
      <c r="S332" s="48"/>
      <c r="T332" s="53"/>
      <c r="V332" s="53"/>
      <c r="W332" s="53"/>
      <c r="X332" s="53"/>
      <c r="Y332" s="48"/>
    </row>
    <row r="333" spans="1:25" ht="12.75">
      <c r="A333" s="16"/>
      <c r="C333" s="56"/>
      <c r="D333" s="57"/>
      <c r="E333" s="57"/>
      <c r="F333" s="57"/>
      <c r="G333" s="48"/>
      <c r="H333" s="48"/>
      <c r="I333" s="48"/>
      <c r="J333" s="48"/>
      <c r="K333" s="48"/>
      <c r="L333" s="48"/>
      <c r="M333" s="48"/>
      <c r="N333" s="48"/>
      <c r="O333" s="48"/>
      <c r="P333" s="48"/>
      <c r="Q333" s="48"/>
      <c r="R333" s="48"/>
      <c r="S333" s="48"/>
      <c r="T333" s="53"/>
      <c r="V333" s="53"/>
      <c r="W333" s="53"/>
      <c r="X333" s="53"/>
      <c r="Y333" s="48"/>
    </row>
    <row r="334" spans="1:25" ht="12.75">
      <c r="A334" s="16"/>
      <c r="C334" s="56"/>
      <c r="D334" s="57"/>
      <c r="E334" s="57"/>
      <c r="F334" s="57"/>
      <c r="G334" s="48"/>
      <c r="H334" s="48"/>
      <c r="I334" s="48"/>
      <c r="J334" s="48"/>
      <c r="K334" s="48"/>
      <c r="L334" s="48"/>
      <c r="M334" s="48"/>
      <c r="N334" s="48"/>
      <c r="O334" s="48"/>
      <c r="P334" s="48"/>
      <c r="Q334" s="48"/>
      <c r="R334" s="48"/>
      <c r="S334" s="48"/>
      <c r="T334" s="53"/>
      <c r="V334" s="53"/>
      <c r="W334" s="53"/>
      <c r="X334" s="53"/>
      <c r="Y334" s="48"/>
    </row>
    <row r="335" spans="1:25" ht="12.75">
      <c r="A335" s="16"/>
      <c r="C335" s="56"/>
      <c r="D335" s="57"/>
      <c r="E335" s="57"/>
      <c r="F335" s="57"/>
      <c r="G335" s="48"/>
      <c r="H335" s="48"/>
      <c r="I335" s="48"/>
      <c r="J335" s="48"/>
      <c r="K335" s="48"/>
      <c r="L335" s="48"/>
      <c r="M335" s="48"/>
      <c r="N335" s="48"/>
      <c r="O335" s="48"/>
      <c r="P335" s="48"/>
      <c r="Q335" s="48"/>
      <c r="R335" s="48"/>
      <c r="S335" s="48"/>
      <c r="T335" s="53"/>
      <c r="V335" s="53"/>
      <c r="W335" s="53"/>
      <c r="X335" s="53"/>
      <c r="Y335" s="48"/>
    </row>
    <row r="336" spans="1:25" ht="12.75">
      <c r="A336" s="16"/>
      <c r="C336" s="56"/>
      <c r="D336" s="57"/>
      <c r="E336" s="57"/>
      <c r="F336" s="57"/>
      <c r="G336" s="48"/>
      <c r="H336" s="48"/>
      <c r="I336" s="48"/>
      <c r="J336" s="48"/>
      <c r="K336" s="48"/>
      <c r="L336" s="48"/>
      <c r="M336" s="48"/>
      <c r="N336" s="48"/>
      <c r="O336" s="48"/>
      <c r="P336" s="48"/>
      <c r="Q336" s="48"/>
      <c r="R336" s="48"/>
      <c r="S336" s="48"/>
      <c r="T336" s="53"/>
      <c r="V336" s="53"/>
      <c r="W336" s="53"/>
      <c r="X336" s="53"/>
      <c r="Y336" s="48"/>
    </row>
    <row r="337" spans="1:25" ht="12.75">
      <c r="A337" s="16"/>
      <c r="C337" s="56"/>
      <c r="D337" s="57"/>
      <c r="E337" s="57"/>
      <c r="F337" s="57"/>
      <c r="G337" s="48"/>
      <c r="H337" s="48"/>
      <c r="I337" s="48"/>
      <c r="J337" s="48"/>
      <c r="K337" s="48"/>
      <c r="L337" s="48"/>
      <c r="M337" s="48"/>
      <c r="N337" s="48"/>
      <c r="O337" s="48"/>
      <c r="P337" s="48"/>
      <c r="Q337" s="48"/>
      <c r="R337" s="48"/>
      <c r="S337" s="48"/>
      <c r="T337" s="53"/>
      <c r="V337" s="53"/>
      <c r="W337" s="53"/>
      <c r="X337" s="53"/>
      <c r="Y337" s="48"/>
    </row>
    <row r="338" spans="1:25" ht="12.75">
      <c r="A338" s="16"/>
      <c r="C338" s="56"/>
      <c r="D338" s="57"/>
      <c r="E338" s="57"/>
      <c r="F338" s="57"/>
      <c r="G338" s="48"/>
      <c r="H338" s="48"/>
      <c r="I338" s="48"/>
      <c r="J338" s="48"/>
      <c r="K338" s="48"/>
      <c r="L338" s="48"/>
      <c r="M338" s="48"/>
      <c r="N338" s="48"/>
      <c r="O338" s="48"/>
      <c r="P338" s="48"/>
      <c r="Q338" s="48"/>
      <c r="R338" s="48"/>
      <c r="S338" s="48"/>
      <c r="T338" s="53"/>
      <c r="V338" s="53"/>
      <c r="W338" s="53"/>
      <c r="X338" s="53"/>
      <c r="Y338" s="48"/>
    </row>
    <row r="339" spans="1:25" ht="12.75">
      <c r="A339" s="16"/>
      <c r="C339" s="56"/>
      <c r="D339" s="57"/>
      <c r="E339" s="57"/>
      <c r="F339" s="57"/>
      <c r="G339" s="48"/>
      <c r="H339" s="48"/>
      <c r="I339" s="48"/>
      <c r="J339" s="48"/>
      <c r="K339" s="48"/>
      <c r="L339" s="48"/>
      <c r="M339" s="48"/>
      <c r="N339" s="48"/>
      <c r="O339" s="48"/>
      <c r="P339" s="48"/>
      <c r="Q339" s="48"/>
      <c r="R339" s="48"/>
      <c r="S339" s="48"/>
      <c r="T339" s="53"/>
      <c r="V339" s="53"/>
      <c r="W339" s="53"/>
      <c r="X339" s="53"/>
      <c r="Y339" s="48"/>
    </row>
    <row r="340" spans="1:25" ht="12.75">
      <c r="A340" s="16"/>
      <c r="C340" s="56"/>
      <c r="D340" s="57"/>
      <c r="E340" s="57"/>
      <c r="F340" s="57"/>
      <c r="G340" s="48"/>
      <c r="H340" s="48"/>
      <c r="I340" s="48"/>
      <c r="J340" s="48"/>
      <c r="K340" s="48"/>
      <c r="L340" s="48"/>
      <c r="M340" s="48"/>
      <c r="N340" s="48"/>
      <c r="O340" s="48"/>
      <c r="P340" s="48"/>
      <c r="Q340" s="48"/>
      <c r="R340" s="48"/>
      <c r="S340" s="48"/>
      <c r="T340" s="53"/>
      <c r="V340" s="53"/>
      <c r="W340" s="53"/>
      <c r="X340" s="53"/>
      <c r="Y340" s="48"/>
    </row>
    <row r="341" spans="1:25" ht="12.75">
      <c r="A341" s="16"/>
      <c r="C341" s="56"/>
      <c r="D341" s="57"/>
      <c r="E341" s="57"/>
      <c r="F341" s="57"/>
      <c r="G341" s="48"/>
      <c r="H341" s="48"/>
      <c r="I341" s="48"/>
      <c r="J341" s="48"/>
      <c r="K341" s="48"/>
      <c r="L341" s="48"/>
      <c r="M341" s="48"/>
      <c r="N341" s="48"/>
      <c r="O341" s="48"/>
      <c r="P341" s="48"/>
      <c r="Q341" s="48"/>
      <c r="R341" s="48"/>
      <c r="S341" s="48"/>
      <c r="T341" s="53"/>
      <c r="V341" s="53"/>
      <c r="W341" s="53"/>
      <c r="X341" s="53"/>
      <c r="Y341" s="48"/>
    </row>
    <row r="342" spans="1:25" ht="12.75">
      <c r="A342" s="16"/>
      <c r="C342" s="56"/>
      <c r="D342" s="57"/>
      <c r="E342" s="57"/>
      <c r="F342" s="57"/>
      <c r="G342" s="48"/>
      <c r="H342" s="48"/>
      <c r="I342" s="48"/>
      <c r="J342" s="48"/>
      <c r="K342" s="48"/>
      <c r="L342" s="48"/>
      <c r="M342" s="48"/>
      <c r="N342" s="48"/>
      <c r="O342" s="48"/>
      <c r="P342" s="48"/>
      <c r="Q342" s="48"/>
      <c r="R342" s="48"/>
      <c r="S342" s="48"/>
      <c r="T342" s="53"/>
      <c r="V342" s="53"/>
      <c r="W342" s="53"/>
      <c r="X342" s="53"/>
      <c r="Y342" s="48"/>
    </row>
    <row r="343" spans="1:25" ht="12.75">
      <c r="A343" s="16"/>
      <c r="C343" s="56"/>
      <c r="D343" s="57"/>
      <c r="E343" s="57"/>
      <c r="F343" s="57"/>
      <c r="G343" s="48"/>
      <c r="H343" s="48"/>
      <c r="I343" s="48"/>
      <c r="J343" s="48"/>
      <c r="K343" s="48"/>
      <c r="L343" s="48"/>
      <c r="M343" s="48"/>
      <c r="N343" s="48"/>
      <c r="O343" s="48"/>
      <c r="P343" s="48"/>
      <c r="Q343" s="48"/>
      <c r="R343" s="48"/>
      <c r="S343" s="48"/>
      <c r="T343" s="53"/>
      <c r="V343" s="53"/>
      <c r="W343" s="53"/>
      <c r="X343" s="53"/>
      <c r="Y343" s="48"/>
    </row>
    <row r="344" spans="1:25" ht="12.75">
      <c r="A344" s="16"/>
      <c r="C344" s="56"/>
      <c r="D344" s="57"/>
      <c r="E344" s="57"/>
      <c r="F344" s="57"/>
      <c r="G344" s="48"/>
      <c r="H344" s="48"/>
      <c r="I344" s="48"/>
      <c r="J344" s="48"/>
      <c r="K344" s="48"/>
      <c r="L344" s="48"/>
      <c r="M344" s="48"/>
      <c r="N344" s="48"/>
      <c r="O344" s="48"/>
      <c r="P344" s="48"/>
      <c r="Q344" s="48"/>
      <c r="R344" s="48"/>
      <c r="S344" s="48"/>
      <c r="T344" s="53"/>
      <c r="V344" s="53"/>
      <c r="W344" s="53"/>
      <c r="X344" s="53"/>
      <c r="Y344" s="48"/>
    </row>
    <row r="345" spans="1:25" ht="12.75">
      <c r="A345" s="16"/>
      <c r="C345" s="56"/>
      <c r="D345" s="57"/>
      <c r="E345" s="57"/>
      <c r="F345" s="57"/>
      <c r="G345" s="48"/>
      <c r="H345" s="48"/>
      <c r="I345" s="48"/>
      <c r="J345" s="48"/>
      <c r="K345" s="48"/>
      <c r="L345" s="48"/>
      <c r="M345" s="48"/>
      <c r="N345" s="48"/>
      <c r="O345" s="48"/>
      <c r="P345" s="48"/>
      <c r="Q345" s="48"/>
      <c r="R345" s="48"/>
      <c r="S345" s="48"/>
      <c r="T345" s="53"/>
      <c r="V345" s="53"/>
      <c r="W345" s="53"/>
      <c r="X345" s="53"/>
      <c r="Y345" s="48"/>
    </row>
    <row r="346" spans="1:25" ht="12.75">
      <c r="A346" s="16"/>
      <c r="C346" s="56"/>
      <c r="D346" s="57"/>
      <c r="E346" s="57"/>
      <c r="F346" s="57"/>
      <c r="G346" s="48"/>
      <c r="H346" s="48"/>
      <c r="I346" s="48"/>
      <c r="J346" s="48"/>
      <c r="K346" s="48"/>
      <c r="L346" s="48"/>
      <c r="M346" s="48"/>
      <c r="N346" s="48"/>
      <c r="O346" s="48"/>
      <c r="P346" s="48"/>
      <c r="Q346" s="48"/>
      <c r="R346" s="48"/>
      <c r="S346" s="48"/>
      <c r="T346" s="53"/>
      <c r="V346" s="53"/>
      <c r="W346" s="53"/>
      <c r="X346" s="53"/>
      <c r="Y346" s="48"/>
    </row>
    <row r="347" spans="1:25" ht="12.75">
      <c r="A347" s="16"/>
      <c r="C347" s="56"/>
      <c r="D347" s="57"/>
      <c r="E347" s="57"/>
      <c r="F347" s="57"/>
      <c r="G347" s="48"/>
      <c r="H347" s="48"/>
      <c r="I347" s="48"/>
      <c r="J347" s="48"/>
      <c r="K347" s="48"/>
      <c r="L347" s="48"/>
      <c r="M347" s="48"/>
      <c r="N347" s="48"/>
      <c r="O347" s="48"/>
      <c r="P347" s="48"/>
      <c r="Q347" s="48"/>
      <c r="R347" s="48"/>
      <c r="S347" s="48"/>
      <c r="T347" s="53"/>
      <c r="V347" s="53"/>
      <c r="W347" s="53"/>
      <c r="X347" s="53"/>
      <c r="Y347" s="48"/>
    </row>
    <row r="348" spans="1:25" ht="12.75">
      <c r="A348" s="16"/>
      <c r="C348" s="56"/>
      <c r="D348" s="57"/>
      <c r="E348" s="57"/>
      <c r="F348" s="57"/>
      <c r="G348" s="48"/>
      <c r="H348" s="48"/>
      <c r="I348" s="48"/>
      <c r="J348" s="48"/>
      <c r="K348" s="48"/>
      <c r="L348" s="48"/>
      <c r="M348" s="48"/>
      <c r="N348" s="48"/>
      <c r="O348" s="48"/>
      <c r="P348" s="48"/>
      <c r="Q348" s="48"/>
      <c r="R348" s="48"/>
      <c r="S348" s="48"/>
      <c r="T348" s="53"/>
      <c r="V348" s="53"/>
      <c r="W348" s="53"/>
      <c r="X348" s="53"/>
      <c r="Y348" s="48"/>
    </row>
    <row r="349" spans="1:25" ht="12.75">
      <c r="A349" s="16"/>
      <c r="C349" s="56"/>
      <c r="D349" s="57"/>
      <c r="E349" s="57"/>
      <c r="F349" s="57"/>
      <c r="G349" s="48"/>
      <c r="H349" s="48"/>
      <c r="I349" s="48"/>
      <c r="J349" s="48"/>
      <c r="K349" s="48"/>
      <c r="L349" s="48"/>
      <c r="M349" s="48"/>
      <c r="N349" s="48"/>
      <c r="O349" s="48"/>
      <c r="P349" s="48"/>
      <c r="Q349" s="48"/>
      <c r="R349" s="48"/>
      <c r="S349" s="48"/>
      <c r="T349" s="53"/>
      <c r="V349" s="53"/>
      <c r="W349" s="53"/>
      <c r="X349" s="53"/>
      <c r="Y349" s="48"/>
    </row>
    <row r="350" spans="1:25" ht="12.75">
      <c r="A350" s="16"/>
      <c r="C350" s="56"/>
      <c r="D350" s="57"/>
      <c r="E350" s="57"/>
      <c r="F350" s="57"/>
      <c r="G350" s="48"/>
      <c r="H350" s="48"/>
      <c r="I350" s="48"/>
      <c r="J350" s="48"/>
      <c r="K350" s="48"/>
      <c r="L350" s="48"/>
      <c r="M350" s="48"/>
      <c r="N350" s="48"/>
      <c r="O350" s="48"/>
      <c r="P350" s="48"/>
      <c r="Q350" s="48"/>
      <c r="R350" s="48"/>
      <c r="S350" s="48"/>
      <c r="T350" s="53"/>
      <c r="V350" s="53"/>
      <c r="W350" s="53"/>
      <c r="X350" s="53"/>
      <c r="Y350" s="48"/>
    </row>
    <row r="351" spans="1:25" ht="12.75">
      <c r="A351" s="16"/>
      <c r="C351" s="56"/>
      <c r="D351" s="57"/>
      <c r="E351" s="57"/>
      <c r="F351" s="57"/>
      <c r="G351" s="48"/>
      <c r="H351" s="48"/>
      <c r="I351" s="48"/>
      <c r="J351" s="48"/>
      <c r="K351" s="48"/>
      <c r="L351" s="48"/>
      <c r="M351" s="48"/>
      <c r="N351" s="48"/>
      <c r="O351" s="48"/>
      <c r="P351" s="48"/>
      <c r="Q351" s="48"/>
      <c r="R351" s="48"/>
      <c r="S351" s="48"/>
      <c r="T351" s="53"/>
      <c r="V351" s="53"/>
      <c r="W351" s="53"/>
      <c r="X351" s="53"/>
      <c r="Y351" s="48"/>
    </row>
    <row r="352" spans="1:25" ht="12.75">
      <c r="A352" s="16"/>
      <c r="C352" s="56"/>
      <c r="D352" s="57"/>
      <c r="E352" s="57"/>
      <c r="F352" s="57"/>
      <c r="G352" s="48"/>
      <c r="H352" s="48"/>
      <c r="I352" s="48"/>
      <c r="J352" s="48"/>
      <c r="K352" s="48"/>
      <c r="L352" s="48"/>
      <c r="M352" s="48"/>
      <c r="N352" s="48"/>
      <c r="O352" s="48"/>
      <c r="P352" s="48"/>
      <c r="Q352" s="48"/>
      <c r="R352" s="48"/>
      <c r="S352" s="48"/>
      <c r="T352" s="53"/>
      <c r="V352" s="53"/>
      <c r="W352" s="53"/>
      <c r="X352" s="53"/>
      <c r="Y352" s="48"/>
    </row>
    <row r="353" spans="1:25" ht="12.75">
      <c r="A353" s="16"/>
      <c r="C353" s="56"/>
      <c r="D353" s="57"/>
      <c r="E353" s="57"/>
      <c r="F353" s="57"/>
      <c r="G353" s="48"/>
      <c r="H353" s="48"/>
      <c r="I353" s="48"/>
      <c r="J353" s="48"/>
      <c r="K353" s="48"/>
      <c r="L353" s="48"/>
      <c r="M353" s="48"/>
      <c r="N353" s="48"/>
      <c r="O353" s="48"/>
      <c r="P353" s="48"/>
      <c r="Q353" s="48"/>
      <c r="R353" s="48"/>
      <c r="S353" s="48"/>
      <c r="T353" s="53"/>
      <c r="V353" s="53"/>
      <c r="W353" s="53"/>
      <c r="X353" s="53"/>
      <c r="Y353" s="48"/>
    </row>
    <row r="354" spans="1:25" ht="12.75">
      <c r="A354" s="16"/>
      <c r="C354" s="56"/>
      <c r="D354" s="57"/>
      <c r="E354" s="57"/>
      <c r="F354" s="57"/>
      <c r="G354" s="48"/>
      <c r="H354" s="48"/>
      <c r="I354" s="48"/>
      <c r="J354" s="48"/>
      <c r="K354" s="48"/>
      <c r="L354" s="48"/>
      <c r="M354" s="48"/>
      <c r="N354" s="48"/>
      <c r="O354" s="48"/>
      <c r="P354" s="48"/>
      <c r="Q354" s="48"/>
      <c r="R354" s="48"/>
      <c r="S354" s="48"/>
      <c r="T354" s="53"/>
      <c r="V354" s="53"/>
      <c r="W354" s="53"/>
      <c r="X354" s="53"/>
      <c r="Y354" s="48"/>
    </row>
    <row r="355" spans="1:25" ht="12.75">
      <c r="A355" s="16"/>
      <c r="C355" s="56"/>
      <c r="D355" s="57"/>
      <c r="E355" s="57"/>
      <c r="F355" s="57"/>
      <c r="G355" s="48"/>
      <c r="H355" s="48"/>
      <c r="I355" s="48"/>
      <c r="J355" s="48"/>
      <c r="K355" s="48"/>
      <c r="L355" s="48"/>
      <c r="M355" s="48"/>
      <c r="N355" s="48"/>
      <c r="O355" s="48"/>
      <c r="P355" s="48"/>
      <c r="Q355" s="48"/>
      <c r="R355" s="48"/>
      <c r="S355" s="48"/>
      <c r="T355" s="53"/>
      <c r="V355" s="53"/>
      <c r="W355" s="53"/>
      <c r="X355" s="53"/>
      <c r="Y355" s="48"/>
    </row>
    <row r="356" spans="1:25" ht="12.75">
      <c r="A356" s="16"/>
      <c r="C356" s="56"/>
      <c r="D356" s="57"/>
      <c r="E356" s="57"/>
      <c r="F356" s="57"/>
      <c r="G356" s="48"/>
      <c r="H356" s="48"/>
      <c r="I356" s="48"/>
      <c r="J356" s="48"/>
      <c r="K356" s="48"/>
      <c r="L356" s="48"/>
      <c r="M356" s="48"/>
      <c r="N356" s="48"/>
      <c r="O356" s="48"/>
      <c r="P356" s="48"/>
      <c r="Q356" s="48"/>
      <c r="R356" s="48"/>
      <c r="S356" s="48"/>
      <c r="T356" s="53"/>
      <c r="V356" s="53"/>
      <c r="W356" s="53"/>
      <c r="X356" s="53"/>
      <c r="Y356" s="48"/>
    </row>
    <row r="357" spans="1:25" ht="12.75">
      <c r="A357" s="16"/>
      <c r="C357" s="56"/>
      <c r="D357" s="57"/>
      <c r="E357" s="57"/>
      <c r="F357" s="57"/>
      <c r="G357" s="48"/>
      <c r="H357" s="48"/>
      <c r="I357" s="48"/>
      <c r="J357" s="48"/>
      <c r="K357" s="48"/>
      <c r="L357" s="48"/>
      <c r="M357" s="48"/>
      <c r="N357" s="48"/>
      <c r="O357" s="48"/>
      <c r="P357" s="48"/>
      <c r="Q357" s="48"/>
      <c r="R357" s="48"/>
      <c r="S357" s="48"/>
      <c r="T357" s="53"/>
      <c r="V357" s="53"/>
      <c r="W357" s="53"/>
      <c r="X357" s="53"/>
      <c r="Y357" s="48"/>
    </row>
    <row r="358" spans="1:25" ht="12.75">
      <c r="A358" s="16"/>
      <c r="C358" s="56"/>
      <c r="D358" s="57"/>
      <c r="E358" s="57"/>
      <c r="F358" s="57"/>
      <c r="G358" s="48"/>
      <c r="H358" s="48"/>
      <c r="I358" s="48"/>
      <c r="J358" s="48"/>
      <c r="K358" s="48"/>
      <c r="L358" s="48"/>
      <c r="M358" s="48"/>
      <c r="N358" s="48"/>
      <c r="O358" s="48"/>
      <c r="P358" s="48"/>
      <c r="Q358" s="48"/>
      <c r="R358" s="48"/>
      <c r="S358" s="48"/>
      <c r="T358" s="53"/>
      <c r="V358" s="53"/>
      <c r="W358" s="53"/>
      <c r="X358" s="53"/>
      <c r="Y358" s="48"/>
    </row>
    <row r="359" spans="1:25" ht="12.75">
      <c r="A359" s="16"/>
      <c r="C359" s="56"/>
      <c r="D359" s="57"/>
      <c r="E359" s="57"/>
      <c r="F359" s="57"/>
      <c r="G359" s="48"/>
      <c r="H359" s="48"/>
      <c r="I359" s="48"/>
      <c r="J359" s="48"/>
      <c r="K359" s="48"/>
      <c r="L359" s="48"/>
      <c r="M359" s="48"/>
      <c r="N359" s="48"/>
      <c r="O359" s="48"/>
      <c r="P359" s="48"/>
      <c r="Q359" s="48"/>
      <c r="R359" s="48"/>
      <c r="S359" s="48"/>
      <c r="T359" s="53"/>
      <c r="V359" s="53"/>
      <c r="W359" s="53"/>
      <c r="X359" s="53"/>
      <c r="Y359" s="48"/>
    </row>
    <row r="360" spans="1:25" ht="12.75">
      <c r="A360" s="16"/>
      <c r="C360" s="56"/>
      <c r="D360" s="57"/>
      <c r="E360" s="57"/>
      <c r="F360" s="57"/>
      <c r="G360" s="48"/>
      <c r="H360" s="48"/>
      <c r="I360" s="48"/>
      <c r="J360" s="48"/>
      <c r="K360" s="48"/>
      <c r="L360" s="48"/>
      <c r="M360" s="48"/>
      <c r="N360" s="48"/>
      <c r="O360" s="48"/>
      <c r="P360" s="48"/>
      <c r="Q360" s="48"/>
      <c r="R360" s="48"/>
      <c r="S360" s="48"/>
      <c r="T360" s="53"/>
      <c r="V360" s="53"/>
      <c r="W360" s="53"/>
      <c r="X360" s="53"/>
      <c r="Y360" s="48"/>
    </row>
    <row r="361" spans="1:25" ht="12.75">
      <c r="A361" s="16"/>
      <c r="C361" s="56"/>
      <c r="D361" s="57"/>
      <c r="E361" s="57"/>
      <c r="F361" s="57"/>
      <c r="G361" s="48"/>
      <c r="H361" s="48"/>
      <c r="I361" s="48"/>
      <c r="J361" s="48"/>
      <c r="K361" s="48"/>
      <c r="L361" s="48"/>
      <c r="M361" s="48"/>
      <c r="N361" s="48"/>
      <c r="O361" s="48"/>
      <c r="P361" s="48"/>
      <c r="Q361" s="48"/>
      <c r="R361" s="48"/>
      <c r="S361" s="48"/>
      <c r="T361" s="53"/>
      <c r="V361" s="53"/>
      <c r="W361" s="53"/>
      <c r="X361" s="53"/>
      <c r="Y361" s="48"/>
    </row>
    <row r="362" spans="1:25" ht="12.75">
      <c r="A362" s="16"/>
      <c r="C362" s="56"/>
      <c r="D362" s="57"/>
      <c r="E362" s="57"/>
      <c r="F362" s="57"/>
      <c r="G362" s="48"/>
      <c r="H362" s="48"/>
      <c r="I362" s="48"/>
      <c r="J362" s="48"/>
      <c r="K362" s="48"/>
      <c r="L362" s="48"/>
      <c r="M362" s="48"/>
      <c r="N362" s="48"/>
      <c r="O362" s="48"/>
      <c r="P362" s="48"/>
      <c r="Q362" s="48"/>
      <c r="R362" s="48"/>
      <c r="S362" s="48"/>
      <c r="T362" s="53"/>
      <c r="V362" s="53"/>
      <c r="W362" s="53"/>
      <c r="X362" s="53"/>
      <c r="Y362" s="48"/>
    </row>
    <row r="363" spans="1:25" ht="12.75">
      <c r="A363" s="16"/>
      <c r="C363" s="56"/>
      <c r="D363" s="57"/>
      <c r="E363" s="57"/>
      <c r="F363" s="57"/>
      <c r="G363" s="48"/>
      <c r="H363" s="48"/>
      <c r="I363" s="48"/>
      <c r="J363" s="48"/>
      <c r="K363" s="48"/>
      <c r="L363" s="48"/>
      <c r="M363" s="48"/>
      <c r="N363" s="48"/>
      <c r="O363" s="48"/>
      <c r="P363" s="48"/>
      <c r="Q363" s="48"/>
      <c r="R363" s="48"/>
      <c r="S363" s="48"/>
      <c r="T363" s="53"/>
      <c r="V363" s="53"/>
      <c r="W363" s="53"/>
      <c r="X363" s="53"/>
      <c r="Y363" s="48"/>
    </row>
    <row r="364" spans="1:25" ht="12.75">
      <c r="A364" s="16"/>
      <c r="C364" s="56"/>
      <c r="D364" s="57"/>
      <c r="E364" s="57"/>
      <c r="F364" s="57"/>
      <c r="G364" s="48"/>
      <c r="H364" s="48"/>
      <c r="I364" s="48"/>
      <c r="J364" s="48"/>
      <c r="K364" s="48"/>
      <c r="L364" s="48"/>
      <c r="M364" s="48"/>
      <c r="N364" s="48"/>
      <c r="O364" s="48"/>
      <c r="P364" s="48"/>
      <c r="Q364" s="48"/>
      <c r="R364" s="48"/>
      <c r="S364" s="48"/>
      <c r="T364" s="53"/>
      <c r="V364" s="53"/>
      <c r="W364" s="53"/>
      <c r="X364" s="53"/>
      <c r="Y364" s="48"/>
    </row>
  </sheetData>
  <sheetProtection/>
  <mergeCells count="40">
    <mergeCell ref="T6:V6"/>
    <mergeCell ref="T5:X5"/>
    <mergeCell ref="L7:M7"/>
    <mergeCell ref="W6:X6"/>
    <mergeCell ref="X7:X9"/>
    <mergeCell ref="U8:U11"/>
    <mergeCell ref="A3:Y3"/>
    <mergeCell ref="N5:P5"/>
    <mergeCell ref="D5:D11"/>
    <mergeCell ref="G8:G11"/>
    <mergeCell ref="A4:Y4"/>
    <mergeCell ref="C5:C11"/>
    <mergeCell ref="P6:P9"/>
    <mergeCell ref="Y5:Y11"/>
    <mergeCell ref="B5:B11"/>
    <mergeCell ref="N6:O6"/>
    <mergeCell ref="G7:H7"/>
    <mergeCell ref="I7:I11"/>
    <mergeCell ref="J8:J11"/>
    <mergeCell ref="K8:K11"/>
    <mergeCell ref="A5:A11"/>
    <mergeCell ref="F5:H6"/>
    <mergeCell ref="I5:K6"/>
    <mergeCell ref="A1:Y1"/>
    <mergeCell ref="V8:V9"/>
    <mergeCell ref="T7:T11"/>
    <mergeCell ref="U7:V7"/>
    <mergeCell ref="A2:Y2"/>
    <mergeCell ref="H8:H11"/>
    <mergeCell ref="E5:E11"/>
    <mergeCell ref="J7:K7"/>
    <mergeCell ref="L6:M6"/>
    <mergeCell ref="F7:F11"/>
    <mergeCell ref="Z7:AA7"/>
    <mergeCell ref="L8:L11"/>
    <mergeCell ref="M8:M11"/>
    <mergeCell ref="N8:N11"/>
    <mergeCell ref="O8:O11"/>
    <mergeCell ref="N7:O7"/>
    <mergeCell ref="W7:W9"/>
  </mergeCells>
  <printOptions/>
  <pageMargins left="0.63" right="0.31" top="0.53" bottom="0.56" header="0.3" footer="0.3"/>
  <pageSetup horizontalDpi="600" verticalDpi="600" orientation="landscape" paperSize="9" scale="90" r:id="rId1"/>
  <headerFooter>
    <oddFooter>&amp;R&amp;P/&amp;N</oddFooter>
  </headerFooter>
</worksheet>
</file>

<file path=xl/worksheets/sheet4.xml><?xml version="1.0" encoding="utf-8"?>
<worksheet xmlns="http://schemas.openxmlformats.org/spreadsheetml/2006/main" xmlns:r="http://schemas.openxmlformats.org/officeDocument/2006/relationships">
  <sheetPr>
    <tabColor rgb="FFFF0000"/>
  </sheetPr>
  <dimension ref="A1:Y42"/>
  <sheetViews>
    <sheetView view="pageBreakPreview" zoomScale="60" zoomScaleNormal="60" zoomScalePageLayoutView="0" workbookViewId="0" topLeftCell="A1">
      <selection activeCell="R26" sqref="R26"/>
    </sheetView>
  </sheetViews>
  <sheetFormatPr defaultColWidth="46.140625" defaultRowHeight="12.75"/>
  <cols>
    <col min="1" max="1" width="5.7109375" style="102" customWidth="1"/>
    <col min="2" max="2" width="40.28125" style="102" customWidth="1"/>
    <col min="3" max="3" width="10.00390625" style="102" customWidth="1"/>
    <col min="4" max="5" width="10.28125" style="102" customWidth="1"/>
    <col min="6" max="6" width="17.7109375" style="102" customWidth="1"/>
    <col min="7" max="8" width="12.8515625" style="102" customWidth="1"/>
    <col min="9" max="10" width="12.8515625" style="102" hidden="1" customWidth="1"/>
    <col min="11" max="14" width="12.8515625" style="102" customWidth="1"/>
    <col min="15" max="16" width="12.8515625" style="102" hidden="1" customWidth="1"/>
    <col min="17" max="18" width="12.8515625" style="102" customWidth="1"/>
    <col min="19" max="19" width="12.8515625" style="134" customWidth="1"/>
    <col min="20" max="20" width="19.7109375" style="102" customWidth="1"/>
    <col min="21" max="21" width="10.140625" style="101" customWidth="1"/>
    <col min="22" max="22" width="20.57421875" style="102" customWidth="1"/>
    <col min="23" max="254" width="10.140625" style="102" customWidth="1"/>
    <col min="255" max="255" width="7.140625" style="102" customWidth="1"/>
    <col min="256" max="16384" width="46.140625" style="102" customWidth="1"/>
  </cols>
  <sheetData>
    <row r="1" spans="1:20" ht="19.5">
      <c r="A1" s="664" t="s">
        <v>20</v>
      </c>
      <c r="B1" s="664"/>
      <c r="C1" s="664"/>
      <c r="D1" s="664"/>
      <c r="E1" s="664"/>
      <c r="F1" s="664"/>
      <c r="G1" s="664"/>
      <c r="H1" s="664"/>
      <c r="I1" s="664"/>
      <c r="J1" s="664"/>
      <c r="K1" s="664"/>
      <c r="L1" s="664"/>
      <c r="M1" s="664"/>
      <c r="N1" s="664"/>
      <c r="O1" s="664"/>
      <c r="P1" s="664"/>
      <c r="Q1" s="664"/>
      <c r="R1" s="664"/>
      <c r="S1" s="664"/>
      <c r="T1" s="664"/>
    </row>
    <row r="2" spans="1:20" ht="23.25">
      <c r="A2" s="103"/>
      <c r="B2" s="104"/>
      <c r="C2" s="104"/>
      <c r="D2" s="104"/>
      <c r="E2" s="104"/>
      <c r="F2" s="104"/>
      <c r="G2" s="104"/>
      <c r="H2" s="103"/>
      <c r="I2" s="103"/>
      <c r="J2" s="103"/>
      <c r="K2" s="103"/>
      <c r="L2" s="103"/>
      <c r="M2" s="103"/>
      <c r="N2" s="103"/>
      <c r="O2" s="103"/>
      <c r="P2" s="103"/>
      <c r="Q2" s="103"/>
      <c r="R2" s="103"/>
      <c r="S2" s="105"/>
      <c r="T2" s="106"/>
    </row>
    <row r="3" spans="1:20" ht="22.5" customHeight="1">
      <c r="A3" s="665" t="s">
        <v>469</v>
      </c>
      <c r="B3" s="665"/>
      <c r="C3" s="665"/>
      <c r="D3" s="665"/>
      <c r="E3" s="665"/>
      <c r="F3" s="665"/>
      <c r="G3" s="665"/>
      <c r="H3" s="665"/>
      <c r="I3" s="665"/>
      <c r="J3" s="665"/>
      <c r="K3" s="665"/>
      <c r="L3" s="665"/>
      <c r="M3" s="665"/>
      <c r="N3" s="665"/>
      <c r="O3" s="665"/>
      <c r="P3" s="665"/>
      <c r="Q3" s="665"/>
      <c r="R3" s="665"/>
      <c r="S3" s="665"/>
      <c r="T3" s="665"/>
    </row>
    <row r="4" spans="1:25" ht="32.25" customHeight="1">
      <c r="A4" s="672" t="s">
        <v>958</v>
      </c>
      <c r="B4" s="672"/>
      <c r="C4" s="672"/>
      <c r="D4" s="672"/>
      <c r="E4" s="672"/>
      <c r="F4" s="672"/>
      <c r="G4" s="672"/>
      <c r="H4" s="672"/>
      <c r="I4" s="672"/>
      <c r="J4" s="672"/>
      <c r="K4" s="672"/>
      <c r="L4" s="672"/>
      <c r="M4" s="672"/>
      <c r="N4" s="672"/>
      <c r="O4" s="672"/>
      <c r="P4" s="672"/>
      <c r="Q4" s="672"/>
      <c r="R4" s="672"/>
      <c r="S4" s="672"/>
      <c r="T4" s="672"/>
      <c r="U4" s="94"/>
      <c r="V4" s="94"/>
      <c r="W4" s="94"/>
      <c r="X4" s="94"/>
      <c r="Y4" s="94"/>
    </row>
    <row r="5" spans="1:20" ht="35.25" customHeight="1">
      <c r="A5" s="666" t="s">
        <v>468</v>
      </c>
      <c r="B5" s="666"/>
      <c r="C5" s="666"/>
      <c r="D5" s="666"/>
      <c r="E5" s="666"/>
      <c r="F5" s="666"/>
      <c r="G5" s="666"/>
      <c r="H5" s="666"/>
      <c r="I5" s="666"/>
      <c r="J5" s="666"/>
      <c r="K5" s="666"/>
      <c r="L5" s="666"/>
      <c r="M5" s="666"/>
      <c r="N5" s="666"/>
      <c r="O5" s="666"/>
      <c r="P5" s="666"/>
      <c r="Q5" s="666"/>
      <c r="R5" s="666"/>
      <c r="S5" s="666"/>
      <c r="T5" s="666"/>
    </row>
    <row r="6" spans="1:20" ht="25.5" customHeight="1">
      <c r="A6" s="667" t="str">
        <f>+'Bieu 10 Von 2016'!A4:AA4</f>
        <v>(Kèm theo Báo cáo số:                   /BC-UBND ngày          /11/2015 của UBND tỉnh Điện Biên) </v>
      </c>
      <c r="B6" s="667"/>
      <c r="C6" s="667"/>
      <c r="D6" s="667"/>
      <c r="E6" s="667"/>
      <c r="F6" s="667"/>
      <c r="G6" s="667"/>
      <c r="H6" s="667"/>
      <c r="I6" s="667"/>
      <c r="J6" s="667"/>
      <c r="K6" s="667"/>
      <c r="L6" s="667"/>
      <c r="M6" s="667"/>
      <c r="N6" s="667"/>
      <c r="O6" s="667"/>
      <c r="P6" s="667"/>
      <c r="Q6" s="667"/>
      <c r="R6" s="667"/>
      <c r="S6" s="667"/>
      <c r="T6" s="667"/>
    </row>
    <row r="7" spans="1:20" ht="22.5" customHeight="1">
      <c r="A7" s="668" t="s">
        <v>23</v>
      </c>
      <c r="B7" s="668"/>
      <c r="C7" s="668"/>
      <c r="D7" s="668"/>
      <c r="E7" s="668"/>
      <c r="F7" s="668"/>
      <c r="G7" s="668"/>
      <c r="H7" s="668"/>
      <c r="I7" s="668"/>
      <c r="J7" s="668"/>
      <c r="K7" s="668"/>
      <c r="L7" s="668"/>
      <c r="M7" s="668"/>
      <c r="N7" s="668"/>
      <c r="O7" s="668"/>
      <c r="P7" s="668"/>
      <c r="Q7" s="668"/>
      <c r="R7" s="668"/>
      <c r="S7" s="668"/>
      <c r="T7" s="668"/>
    </row>
    <row r="8" spans="1:20" ht="31.5" customHeight="1">
      <c r="A8" s="658" t="s">
        <v>467</v>
      </c>
      <c r="B8" s="658" t="s">
        <v>25</v>
      </c>
      <c r="C8" s="658" t="s">
        <v>26</v>
      </c>
      <c r="D8" s="658" t="s">
        <v>27</v>
      </c>
      <c r="E8" s="658" t="s">
        <v>28</v>
      </c>
      <c r="F8" s="669" t="s">
        <v>466</v>
      </c>
      <c r="G8" s="676"/>
      <c r="H8" s="677"/>
      <c r="I8" s="673" t="s">
        <v>30</v>
      </c>
      <c r="J8" s="674"/>
      <c r="K8" s="674"/>
      <c r="L8" s="674"/>
      <c r="M8" s="674"/>
      <c r="N8" s="674"/>
      <c r="O8" s="673" t="s">
        <v>15</v>
      </c>
      <c r="P8" s="674"/>
      <c r="Q8" s="674"/>
      <c r="R8" s="674"/>
      <c r="S8" s="675"/>
      <c r="T8" s="658" t="s">
        <v>851</v>
      </c>
    </row>
    <row r="9" spans="1:20" ht="61.5" customHeight="1">
      <c r="A9" s="659"/>
      <c r="B9" s="659"/>
      <c r="C9" s="659"/>
      <c r="D9" s="659"/>
      <c r="E9" s="659"/>
      <c r="F9" s="671"/>
      <c r="G9" s="678"/>
      <c r="H9" s="679"/>
      <c r="I9" s="661" t="s">
        <v>465</v>
      </c>
      <c r="J9" s="663"/>
      <c r="K9" s="661" t="s">
        <v>33</v>
      </c>
      <c r="L9" s="663"/>
      <c r="M9" s="661" t="s">
        <v>464</v>
      </c>
      <c r="N9" s="662"/>
      <c r="O9" s="661" t="s">
        <v>463</v>
      </c>
      <c r="P9" s="662"/>
      <c r="Q9" s="661" t="s">
        <v>462</v>
      </c>
      <c r="R9" s="662"/>
      <c r="S9" s="655" t="s">
        <v>461</v>
      </c>
      <c r="T9" s="659"/>
    </row>
    <row r="10" spans="1:22" ht="31.5" customHeight="1">
      <c r="A10" s="659"/>
      <c r="B10" s="659"/>
      <c r="C10" s="659"/>
      <c r="D10" s="659"/>
      <c r="E10" s="659"/>
      <c r="F10" s="658" t="s">
        <v>34</v>
      </c>
      <c r="G10" s="661" t="s">
        <v>35</v>
      </c>
      <c r="H10" s="663"/>
      <c r="I10" s="661" t="s">
        <v>36</v>
      </c>
      <c r="J10" s="663"/>
      <c r="K10" s="661" t="s">
        <v>36</v>
      </c>
      <c r="L10" s="663"/>
      <c r="M10" s="658" t="s">
        <v>37</v>
      </c>
      <c r="N10" s="658" t="s">
        <v>460</v>
      </c>
      <c r="O10" s="658" t="s">
        <v>37</v>
      </c>
      <c r="P10" s="658" t="s">
        <v>460</v>
      </c>
      <c r="Q10" s="658" t="s">
        <v>37</v>
      </c>
      <c r="R10" s="669" t="s">
        <v>460</v>
      </c>
      <c r="S10" s="656"/>
      <c r="T10" s="659"/>
      <c r="V10" s="107"/>
    </row>
    <row r="11" spans="1:22" ht="18" customHeight="1">
      <c r="A11" s="659"/>
      <c r="B11" s="659"/>
      <c r="C11" s="659"/>
      <c r="D11" s="659"/>
      <c r="E11" s="659"/>
      <c r="F11" s="659"/>
      <c r="G11" s="658" t="s">
        <v>37</v>
      </c>
      <c r="H11" s="658" t="s">
        <v>460</v>
      </c>
      <c r="I11" s="658" t="s">
        <v>37</v>
      </c>
      <c r="J11" s="658" t="s">
        <v>460</v>
      </c>
      <c r="K11" s="658" t="s">
        <v>37</v>
      </c>
      <c r="L11" s="658" t="s">
        <v>460</v>
      </c>
      <c r="M11" s="659"/>
      <c r="N11" s="659"/>
      <c r="O11" s="659"/>
      <c r="P11" s="659"/>
      <c r="Q11" s="659"/>
      <c r="R11" s="670"/>
      <c r="S11" s="656"/>
      <c r="T11" s="659"/>
      <c r="V11" s="107"/>
    </row>
    <row r="12" spans="1:20" ht="13.5" customHeight="1">
      <c r="A12" s="659"/>
      <c r="B12" s="659"/>
      <c r="C12" s="659"/>
      <c r="D12" s="659"/>
      <c r="E12" s="659"/>
      <c r="F12" s="659"/>
      <c r="G12" s="659"/>
      <c r="H12" s="659"/>
      <c r="I12" s="659"/>
      <c r="J12" s="659"/>
      <c r="K12" s="659"/>
      <c r="L12" s="659"/>
      <c r="M12" s="659"/>
      <c r="N12" s="659"/>
      <c r="O12" s="659"/>
      <c r="P12" s="659"/>
      <c r="Q12" s="659"/>
      <c r="R12" s="670"/>
      <c r="S12" s="656"/>
      <c r="T12" s="659"/>
    </row>
    <row r="13" spans="1:22" ht="13.5" customHeight="1">
      <c r="A13" s="659"/>
      <c r="B13" s="659"/>
      <c r="C13" s="659"/>
      <c r="D13" s="659"/>
      <c r="E13" s="659"/>
      <c r="F13" s="659"/>
      <c r="G13" s="659"/>
      <c r="H13" s="659"/>
      <c r="I13" s="659"/>
      <c r="J13" s="659"/>
      <c r="K13" s="659"/>
      <c r="L13" s="659"/>
      <c r="M13" s="659"/>
      <c r="N13" s="659"/>
      <c r="O13" s="659"/>
      <c r="P13" s="659"/>
      <c r="Q13" s="659"/>
      <c r="R13" s="670"/>
      <c r="S13" s="656"/>
      <c r="T13" s="659"/>
      <c r="V13" s="107"/>
    </row>
    <row r="14" spans="1:22" ht="36.75" customHeight="1">
      <c r="A14" s="660"/>
      <c r="B14" s="660"/>
      <c r="C14" s="660"/>
      <c r="D14" s="660"/>
      <c r="E14" s="660"/>
      <c r="F14" s="660"/>
      <c r="G14" s="660"/>
      <c r="H14" s="660"/>
      <c r="I14" s="660"/>
      <c r="J14" s="660"/>
      <c r="K14" s="660"/>
      <c r="L14" s="660"/>
      <c r="M14" s="660"/>
      <c r="N14" s="660"/>
      <c r="O14" s="660"/>
      <c r="P14" s="660"/>
      <c r="Q14" s="660"/>
      <c r="R14" s="671"/>
      <c r="S14" s="657"/>
      <c r="T14" s="660"/>
      <c r="V14" s="107"/>
    </row>
    <row r="15" spans="1:20" ht="20.25" customHeight="1">
      <c r="A15" s="108">
        <v>1</v>
      </c>
      <c r="B15" s="108">
        <v>2</v>
      </c>
      <c r="C15" s="108">
        <v>3</v>
      </c>
      <c r="D15" s="108">
        <v>4</v>
      </c>
      <c r="E15" s="108">
        <v>5</v>
      </c>
      <c r="F15" s="108">
        <v>6</v>
      </c>
      <c r="G15" s="108">
        <v>7</v>
      </c>
      <c r="H15" s="108">
        <v>8</v>
      </c>
      <c r="I15" s="108">
        <v>12</v>
      </c>
      <c r="J15" s="108">
        <v>13</v>
      </c>
      <c r="K15" s="108">
        <v>9</v>
      </c>
      <c r="L15" s="108">
        <v>10</v>
      </c>
      <c r="M15" s="108">
        <v>11</v>
      </c>
      <c r="N15" s="108">
        <v>12</v>
      </c>
      <c r="O15" s="108">
        <v>18</v>
      </c>
      <c r="P15" s="108">
        <v>19</v>
      </c>
      <c r="Q15" s="108">
        <v>13</v>
      </c>
      <c r="R15" s="108">
        <v>14</v>
      </c>
      <c r="S15" s="109">
        <v>15</v>
      </c>
      <c r="T15" s="108">
        <v>16</v>
      </c>
    </row>
    <row r="16" spans="1:21" s="136" customFormat="1" ht="27" customHeight="1">
      <c r="A16" s="498"/>
      <c r="B16" s="499" t="s">
        <v>310</v>
      </c>
      <c r="C16" s="500"/>
      <c r="D16" s="500"/>
      <c r="E16" s="500"/>
      <c r="F16" s="500"/>
      <c r="G16" s="501">
        <f aca="true" t="shared" si="0" ref="G16:R16">G17+G20</f>
        <v>48350</v>
      </c>
      <c r="H16" s="501">
        <f t="shared" si="0"/>
        <v>43330</v>
      </c>
      <c r="I16" s="501">
        <f t="shared" si="0"/>
        <v>11315</v>
      </c>
      <c r="J16" s="501">
        <f t="shared" si="0"/>
        <v>11136</v>
      </c>
      <c r="K16" s="501">
        <f t="shared" si="0"/>
        <v>11136</v>
      </c>
      <c r="L16" s="501">
        <f t="shared" si="0"/>
        <v>11136</v>
      </c>
      <c r="M16" s="501">
        <f t="shared" si="0"/>
        <v>15850</v>
      </c>
      <c r="N16" s="501">
        <f t="shared" si="0"/>
        <v>13850</v>
      </c>
      <c r="O16" s="501">
        <f t="shared" si="0"/>
        <v>21364</v>
      </c>
      <c r="P16" s="501">
        <f t="shared" si="0"/>
        <v>16344</v>
      </c>
      <c r="Q16" s="501">
        <f t="shared" si="0"/>
        <v>40426</v>
      </c>
      <c r="R16" s="501">
        <f t="shared" si="0"/>
        <v>36870</v>
      </c>
      <c r="S16" s="501">
        <f>S17+S20</f>
        <v>11000</v>
      </c>
      <c r="T16" s="502"/>
      <c r="U16" s="135"/>
    </row>
    <row r="17" spans="1:21" s="136" customFormat="1" ht="27" customHeight="1">
      <c r="A17" s="503" t="s">
        <v>41</v>
      </c>
      <c r="B17" s="504" t="s">
        <v>337</v>
      </c>
      <c r="C17" s="500"/>
      <c r="D17" s="500"/>
      <c r="E17" s="500"/>
      <c r="F17" s="500"/>
      <c r="G17" s="501"/>
      <c r="H17" s="501"/>
      <c r="I17" s="501"/>
      <c r="J17" s="501"/>
      <c r="K17" s="501"/>
      <c r="L17" s="501"/>
      <c r="M17" s="501"/>
      <c r="N17" s="501"/>
      <c r="O17" s="501"/>
      <c r="P17" s="501"/>
      <c r="Q17" s="505">
        <f>SUM(Q18:Q19)</f>
        <v>21000</v>
      </c>
      <c r="R17" s="505">
        <f>SUM(R18:R19)</f>
        <v>21000</v>
      </c>
      <c r="S17" s="505">
        <f>SUM(S18:S19)</f>
        <v>260</v>
      </c>
      <c r="T17" s="506"/>
      <c r="U17" s="135"/>
    </row>
    <row r="18" spans="1:21" s="138" customFormat="1" ht="27.75" customHeight="1">
      <c r="A18" s="507" t="s">
        <v>87</v>
      </c>
      <c r="B18" s="508" t="s">
        <v>820</v>
      </c>
      <c r="C18" s="509" t="s">
        <v>821</v>
      </c>
      <c r="D18" s="510"/>
      <c r="E18" s="511" t="s">
        <v>433</v>
      </c>
      <c r="F18" s="510"/>
      <c r="G18" s="512"/>
      <c r="H18" s="512"/>
      <c r="I18" s="512"/>
      <c r="J18" s="512"/>
      <c r="K18" s="512"/>
      <c r="L18" s="512"/>
      <c r="M18" s="512"/>
      <c r="N18" s="512"/>
      <c r="O18" s="512">
        <v>5000</v>
      </c>
      <c r="P18" s="512">
        <v>5000</v>
      </c>
      <c r="Q18" s="513">
        <v>5000</v>
      </c>
      <c r="R18" s="513">
        <v>5000</v>
      </c>
      <c r="S18" s="514">
        <v>60</v>
      </c>
      <c r="T18" s="515" t="s">
        <v>822</v>
      </c>
      <c r="U18" s="137">
        <f>R18*35/100</f>
        <v>1750</v>
      </c>
    </row>
    <row r="19" spans="1:21" s="138" customFormat="1" ht="33">
      <c r="A19" s="507" t="s">
        <v>90</v>
      </c>
      <c r="B19" s="508" t="s">
        <v>823</v>
      </c>
      <c r="C19" s="509" t="s">
        <v>821</v>
      </c>
      <c r="D19" s="509"/>
      <c r="E19" s="509"/>
      <c r="F19" s="509"/>
      <c r="G19" s="512"/>
      <c r="H19" s="512"/>
      <c r="I19" s="512"/>
      <c r="J19" s="512"/>
      <c r="K19" s="512"/>
      <c r="L19" s="512"/>
      <c r="M19" s="512"/>
      <c r="N19" s="512"/>
      <c r="O19" s="512">
        <v>35360</v>
      </c>
      <c r="P19" s="512">
        <v>15360</v>
      </c>
      <c r="Q19" s="513">
        <v>16000</v>
      </c>
      <c r="R19" s="513">
        <v>16000</v>
      </c>
      <c r="S19" s="514">
        <v>200</v>
      </c>
      <c r="T19" s="516" t="s">
        <v>824</v>
      </c>
      <c r="U19" s="137">
        <f>R19*35/100</f>
        <v>5600</v>
      </c>
    </row>
    <row r="20" spans="1:21" s="140" customFormat="1" ht="30" customHeight="1">
      <c r="A20" s="503" t="s">
        <v>43</v>
      </c>
      <c r="B20" s="504" t="s">
        <v>324</v>
      </c>
      <c r="C20" s="517"/>
      <c r="D20" s="517"/>
      <c r="E20" s="517"/>
      <c r="F20" s="518"/>
      <c r="G20" s="505">
        <f>SUM(G21:G27)</f>
        <v>48350</v>
      </c>
      <c r="H20" s="505">
        <f aca="true" t="shared" si="1" ref="H20:R20">SUM(H21:H27)</f>
        <v>43330</v>
      </c>
      <c r="I20" s="505">
        <f t="shared" si="1"/>
        <v>11315</v>
      </c>
      <c r="J20" s="505">
        <f t="shared" si="1"/>
        <v>11136</v>
      </c>
      <c r="K20" s="505">
        <f t="shared" si="1"/>
        <v>11136</v>
      </c>
      <c r="L20" s="505">
        <f t="shared" si="1"/>
        <v>11136</v>
      </c>
      <c r="M20" s="505">
        <f t="shared" si="1"/>
        <v>15850</v>
      </c>
      <c r="N20" s="505">
        <f t="shared" si="1"/>
        <v>13850</v>
      </c>
      <c r="O20" s="505">
        <f t="shared" si="1"/>
        <v>21364</v>
      </c>
      <c r="P20" s="505">
        <f t="shared" si="1"/>
        <v>16344</v>
      </c>
      <c r="Q20" s="505">
        <f t="shared" si="1"/>
        <v>19426</v>
      </c>
      <c r="R20" s="505">
        <f t="shared" si="1"/>
        <v>15870</v>
      </c>
      <c r="S20" s="505">
        <f>SUM(S21:S27)</f>
        <v>10740</v>
      </c>
      <c r="T20" s="506"/>
      <c r="U20" s="139"/>
    </row>
    <row r="21" spans="1:22" ht="40.5" customHeight="1">
      <c r="A21" s="519" t="s">
        <v>87</v>
      </c>
      <c r="B21" s="520" t="s">
        <v>459</v>
      </c>
      <c r="C21" s="521" t="s">
        <v>441</v>
      </c>
      <c r="D21" s="521" t="s">
        <v>454</v>
      </c>
      <c r="E21" s="522" t="s">
        <v>22</v>
      </c>
      <c r="F21" s="523" t="s">
        <v>458</v>
      </c>
      <c r="G21" s="524">
        <v>4650</v>
      </c>
      <c r="H21" s="524">
        <v>4650</v>
      </c>
      <c r="I21" s="525">
        <v>3293</v>
      </c>
      <c r="J21" s="524">
        <v>3114</v>
      </c>
      <c r="K21" s="524">
        <v>3114</v>
      </c>
      <c r="L21" s="524">
        <v>3114</v>
      </c>
      <c r="M21" s="524">
        <f>N21</f>
        <v>800</v>
      </c>
      <c r="N21" s="524">
        <v>800</v>
      </c>
      <c r="O21" s="524">
        <v>736</v>
      </c>
      <c r="P21" s="524">
        <v>736</v>
      </c>
      <c r="Q21" s="524">
        <v>0</v>
      </c>
      <c r="R21" s="524">
        <v>0</v>
      </c>
      <c r="S21" s="524">
        <v>0</v>
      </c>
      <c r="T21" s="526"/>
      <c r="U21" s="141">
        <v>1</v>
      </c>
      <c r="V21" s="102">
        <v>1</v>
      </c>
    </row>
    <row r="22" spans="1:22" ht="40.5" customHeight="1">
      <c r="A22" s="519" t="s">
        <v>90</v>
      </c>
      <c r="B22" s="520" t="s">
        <v>457</v>
      </c>
      <c r="C22" s="521" t="s">
        <v>441</v>
      </c>
      <c r="D22" s="521" t="s">
        <v>454</v>
      </c>
      <c r="E22" s="522" t="s">
        <v>453</v>
      </c>
      <c r="F22" s="523" t="s">
        <v>456</v>
      </c>
      <c r="G22" s="524">
        <v>4750</v>
      </c>
      <c r="H22" s="524">
        <v>4750</v>
      </c>
      <c r="I22" s="524">
        <v>2000</v>
      </c>
      <c r="J22" s="524">
        <v>2000</v>
      </c>
      <c r="K22" s="524">
        <v>2000</v>
      </c>
      <c r="L22" s="524">
        <v>2000</v>
      </c>
      <c r="M22" s="524">
        <v>1020</v>
      </c>
      <c r="N22" s="524">
        <v>1020</v>
      </c>
      <c r="O22" s="524">
        <f>G22-K22-M22</f>
        <v>1730</v>
      </c>
      <c r="P22" s="524">
        <f>H22-L22-N22</f>
        <v>1730</v>
      </c>
      <c r="Q22" s="524">
        <v>1650</v>
      </c>
      <c r="R22" s="524">
        <v>1650</v>
      </c>
      <c r="S22" s="524">
        <v>1650</v>
      </c>
      <c r="T22" s="526"/>
      <c r="U22" s="141"/>
      <c r="V22" s="102">
        <v>1</v>
      </c>
    </row>
    <row r="23" spans="1:22" ht="39" customHeight="1">
      <c r="A23" s="519" t="s">
        <v>229</v>
      </c>
      <c r="B23" s="520" t="s">
        <v>455</v>
      </c>
      <c r="C23" s="521" t="s">
        <v>441</v>
      </c>
      <c r="D23" s="521" t="s">
        <v>454</v>
      </c>
      <c r="E23" s="522" t="s">
        <v>453</v>
      </c>
      <c r="F23" s="523" t="s">
        <v>452</v>
      </c>
      <c r="G23" s="524">
        <v>4800</v>
      </c>
      <c r="H23" s="524">
        <v>4800</v>
      </c>
      <c r="I23" s="524">
        <v>2022</v>
      </c>
      <c r="J23" s="524">
        <v>2022</v>
      </c>
      <c r="K23" s="524">
        <v>2022</v>
      </c>
      <c r="L23" s="524">
        <v>2022</v>
      </c>
      <c r="M23" s="524">
        <v>1000</v>
      </c>
      <c r="N23" s="524">
        <v>1000</v>
      </c>
      <c r="O23" s="524">
        <f>G23-K23-M23</f>
        <v>1778</v>
      </c>
      <c r="P23" s="524">
        <v>1778</v>
      </c>
      <c r="Q23" s="524">
        <v>1270</v>
      </c>
      <c r="R23" s="524">
        <v>1270</v>
      </c>
      <c r="S23" s="524">
        <v>1270</v>
      </c>
      <c r="T23" s="526"/>
      <c r="U23" s="141"/>
      <c r="V23" s="102">
        <v>1</v>
      </c>
    </row>
    <row r="24" spans="1:22" ht="50.25" customHeight="1">
      <c r="A24" s="519" t="s">
        <v>235</v>
      </c>
      <c r="B24" s="527" t="s">
        <v>451</v>
      </c>
      <c r="C24" s="522" t="s">
        <v>441</v>
      </c>
      <c r="D24" s="528"/>
      <c r="E24" s="529" t="s">
        <v>448</v>
      </c>
      <c r="F24" s="523" t="s">
        <v>450</v>
      </c>
      <c r="G24" s="524">
        <v>5300</v>
      </c>
      <c r="H24" s="524">
        <v>5300</v>
      </c>
      <c r="I24" s="524">
        <v>0</v>
      </c>
      <c r="J24" s="524"/>
      <c r="K24" s="524">
        <v>0</v>
      </c>
      <c r="L24" s="524"/>
      <c r="M24" s="524">
        <v>1850</v>
      </c>
      <c r="N24" s="524">
        <v>1850</v>
      </c>
      <c r="O24" s="524">
        <f>G24-K24-M24</f>
        <v>3450</v>
      </c>
      <c r="P24" s="524">
        <v>3450</v>
      </c>
      <c r="Q24" s="524">
        <v>3450</v>
      </c>
      <c r="R24" s="524">
        <v>3450</v>
      </c>
      <c r="S24" s="530">
        <v>700</v>
      </c>
      <c r="T24" s="531"/>
      <c r="V24" s="102">
        <v>1</v>
      </c>
    </row>
    <row r="25" spans="1:22" ht="44.25" customHeight="1">
      <c r="A25" s="519" t="s">
        <v>7</v>
      </c>
      <c r="B25" s="527" t="s">
        <v>449</v>
      </c>
      <c r="C25" s="522" t="s">
        <v>441</v>
      </c>
      <c r="D25" s="528"/>
      <c r="E25" s="522" t="s">
        <v>448</v>
      </c>
      <c r="F25" s="523" t="s">
        <v>447</v>
      </c>
      <c r="G25" s="524">
        <v>4650</v>
      </c>
      <c r="H25" s="524">
        <v>4650</v>
      </c>
      <c r="I25" s="524">
        <v>0</v>
      </c>
      <c r="J25" s="524"/>
      <c r="K25" s="524">
        <v>0</v>
      </c>
      <c r="L25" s="524"/>
      <c r="M25" s="524">
        <v>1630</v>
      </c>
      <c r="N25" s="524">
        <v>1630</v>
      </c>
      <c r="O25" s="524">
        <f>G25-K25-M25</f>
        <v>3020</v>
      </c>
      <c r="P25" s="524">
        <v>3020</v>
      </c>
      <c r="Q25" s="524">
        <v>3020</v>
      </c>
      <c r="R25" s="524">
        <v>3020</v>
      </c>
      <c r="S25" s="530">
        <v>640</v>
      </c>
      <c r="T25" s="531"/>
      <c r="V25" s="107">
        <v>1</v>
      </c>
    </row>
    <row r="26" spans="1:22" ht="66.75" customHeight="1">
      <c r="A26" s="519" t="s">
        <v>8</v>
      </c>
      <c r="B26" s="532" t="s">
        <v>446</v>
      </c>
      <c r="C26" s="521" t="s">
        <v>441</v>
      </c>
      <c r="D26" s="521" t="s">
        <v>445</v>
      </c>
      <c r="E26" s="522" t="s">
        <v>444</v>
      </c>
      <c r="F26" s="523" t="s">
        <v>443</v>
      </c>
      <c r="G26" s="524">
        <v>9664</v>
      </c>
      <c r="H26" s="524">
        <v>9664</v>
      </c>
      <c r="I26" s="524">
        <v>1900</v>
      </c>
      <c r="J26" s="524">
        <v>1900</v>
      </c>
      <c r="K26" s="524">
        <v>1900</v>
      </c>
      <c r="L26" s="524">
        <v>1900</v>
      </c>
      <c r="M26" s="524">
        <v>4370</v>
      </c>
      <c r="N26" s="524">
        <v>2370</v>
      </c>
      <c r="O26" s="524">
        <f>G26-K26-M26</f>
        <v>3394</v>
      </c>
      <c r="P26" s="524">
        <f>O26</f>
        <v>3394</v>
      </c>
      <c r="Q26" s="514">
        <f>R26</f>
        <v>2780</v>
      </c>
      <c r="R26" s="514">
        <v>2780</v>
      </c>
      <c r="S26" s="514">
        <v>2780</v>
      </c>
      <c r="T26" s="526"/>
      <c r="U26" s="141"/>
      <c r="V26" s="142"/>
    </row>
    <row r="27" spans="1:22" ht="85.5" customHeight="1">
      <c r="A27" s="519" t="s">
        <v>9</v>
      </c>
      <c r="B27" s="532" t="s">
        <v>442</v>
      </c>
      <c r="C27" s="521" t="s">
        <v>441</v>
      </c>
      <c r="D27" s="521" t="s">
        <v>440</v>
      </c>
      <c r="E27" s="522" t="s">
        <v>439</v>
      </c>
      <c r="F27" s="523" t="s">
        <v>438</v>
      </c>
      <c r="G27" s="524">
        <v>14536</v>
      </c>
      <c r="H27" s="524">
        <v>9516</v>
      </c>
      <c r="I27" s="524">
        <v>2100</v>
      </c>
      <c r="J27" s="524">
        <v>2100</v>
      </c>
      <c r="K27" s="524">
        <v>2100</v>
      </c>
      <c r="L27" s="524">
        <v>2100</v>
      </c>
      <c r="M27" s="524">
        <f>N27</f>
        <v>5180</v>
      </c>
      <c r="N27" s="524">
        <v>5180</v>
      </c>
      <c r="O27" s="524">
        <f>G27-K27-M27</f>
        <v>7256</v>
      </c>
      <c r="P27" s="524">
        <v>2236</v>
      </c>
      <c r="Q27" s="524">
        <v>7256</v>
      </c>
      <c r="R27" s="514">
        <v>3700</v>
      </c>
      <c r="S27" s="514">
        <v>3700</v>
      </c>
      <c r="T27" s="526"/>
      <c r="U27" s="141"/>
      <c r="V27" s="142"/>
    </row>
    <row r="28" spans="1:20" ht="18.75" hidden="1">
      <c r="A28" s="490" t="s">
        <v>87</v>
      </c>
      <c r="B28" s="491" t="s">
        <v>436</v>
      </c>
      <c r="C28" s="492" t="s">
        <v>430</v>
      </c>
      <c r="D28" s="493"/>
      <c r="E28" s="494" t="s">
        <v>433</v>
      </c>
      <c r="F28" s="493"/>
      <c r="G28" s="495">
        <v>5000</v>
      </c>
      <c r="H28" s="495">
        <v>5000</v>
      </c>
      <c r="I28" s="495"/>
      <c r="J28" s="495"/>
      <c r="K28" s="495"/>
      <c r="L28" s="495"/>
      <c r="M28" s="495"/>
      <c r="N28" s="495"/>
      <c r="O28" s="495">
        <v>5000</v>
      </c>
      <c r="P28" s="495">
        <v>5000</v>
      </c>
      <c r="Q28" s="495">
        <v>5000</v>
      </c>
      <c r="R28" s="495">
        <v>5000</v>
      </c>
      <c r="S28" s="496"/>
      <c r="T28" s="497"/>
    </row>
    <row r="29" spans="1:20" ht="18.75" hidden="1">
      <c r="A29" s="117" t="s">
        <v>90</v>
      </c>
      <c r="B29" s="118" t="s">
        <v>435</v>
      </c>
      <c r="C29" s="119" t="s">
        <v>430</v>
      </c>
      <c r="D29" s="120"/>
      <c r="E29" s="121" t="s">
        <v>433</v>
      </c>
      <c r="F29" s="120"/>
      <c r="G29" s="122">
        <v>5000</v>
      </c>
      <c r="H29" s="122">
        <v>5000</v>
      </c>
      <c r="I29" s="122"/>
      <c r="J29" s="122"/>
      <c r="K29" s="122"/>
      <c r="L29" s="122"/>
      <c r="M29" s="122"/>
      <c r="N29" s="122"/>
      <c r="O29" s="122">
        <v>5000</v>
      </c>
      <c r="P29" s="122">
        <v>5000</v>
      </c>
      <c r="Q29" s="122">
        <v>5000</v>
      </c>
      <c r="R29" s="122">
        <v>5000</v>
      </c>
      <c r="S29" s="123"/>
      <c r="T29" s="116"/>
    </row>
    <row r="30" spans="1:20" ht="18.75" hidden="1">
      <c r="A30" s="117" t="s">
        <v>229</v>
      </c>
      <c r="B30" s="118" t="s">
        <v>434</v>
      </c>
      <c r="C30" s="119" t="s">
        <v>426</v>
      </c>
      <c r="D30" s="120"/>
      <c r="E30" s="121" t="s">
        <v>433</v>
      </c>
      <c r="F30" s="120"/>
      <c r="G30" s="122">
        <v>5000</v>
      </c>
      <c r="H30" s="122">
        <v>5000</v>
      </c>
      <c r="I30" s="122"/>
      <c r="J30" s="122"/>
      <c r="K30" s="122"/>
      <c r="L30" s="122"/>
      <c r="M30" s="122"/>
      <c r="N30" s="122"/>
      <c r="O30" s="122">
        <v>5000</v>
      </c>
      <c r="P30" s="122">
        <v>5000</v>
      </c>
      <c r="Q30" s="122">
        <v>5000</v>
      </c>
      <c r="R30" s="122">
        <v>5000</v>
      </c>
      <c r="S30" s="123"/>
      <c r="T30" s="116"/>
    </row>
    <row r="31" spans="1:20" ht="18.75" hidden="1">
      <c r="A31" s="117" t="s">
        <v>235</v>
      </c>
      <c r="B31" s="118" t="s">
        <v>432</v>
      </c>
      <c r="C31" s="119" t="s">
        <v>426</v>
      </c>
      <c r="D31" s="120"/>
      <c r="E31" s="121" t="s">
        <v>425</v>
      </c>
      <c r="F31" s="120"/>
      <c r="G31" s="122">
        <v>5000</v>
      </c>
      <c r="H31" s="122">
        <v>5000</v>
      </c>
      <c r="I31" s="122"/>
      <c r="J31" s="122"/>
      <c r="K31" s="122"/>
      <c r="L31" s="122"/>
      <c r="M31" s="122"/>
      <c r="N31" s="122"/>
      <c r="O31" s="122">
        <v>5000</v>
      </c>
      <c r="P31" s="122">
        <v>5000</v>
      </c>
      <c r="Q31" s="122">
        <v>5000</v>
      </c>
      <c r="R31" s="122">
        <v>5000</v>
      </c>
      <c r="S31" s="123"/>
      <c r="T31" s="116"/>
    </row>
    <row r="32" spans="1:20" ht="18.75" hidden="1">
      <c r="A32" s="117" t="s">
        <v>7</v>
      </c>
      <c r="B32" s="118" t="s">
        <v>431</v>
      </c>
      <c r="C32" s="119" t="s">
        <v>430</v>
      </c>
      <c r="D32" s="120"/>
      <c r="E32" s="121" t="s">
        <v>425</v>
      </c>
      <c r="F32" s="120"/>
      <c r="G32" s="122">
        <v>5000</v>
      </c>
      <c r="H32" s="122">
        <v>5000</v>
      </c>
      <c r="I32" s="122"/>
      <c r="J32" s="122"/>
      <c r="K32" s="122"/>
      <c r="L32" s="122"/>
      <c r="M32" s="122"/>
      <c r="N32" s="122"/>
      <c r="O32" s="122">
        <v>5000</v>
      </c>
      <c r="P32" s="122">
        <v>5000</v>
      </c>
      <c r="Q32" s="122">
        <v>5000</v>
      </c>
      <c r="R32" s="122">
        <v>5000</v>
      </c>
      <c r="S32" s="123"/>
      <c r="T32" s="116"/>
    </row>
    <row r="33" spans="1:20" ht="18.75" hidden="1">
      <c r="A33" s="117" t="s">
        <v>8</v>
      </c>
      <c r="B33" s="118" t="s">
        <v>429</v>
      </c>
      <c r="C33" s="119" t="s">
        <v>426</v>
      </c>
      <c r="D33" s="120"/>
      <c r="E33" s="121" t="s">
        <v>425</v>
      </c>
      <c r="F33" s="120"/>
      <c r="G33" s="122">
        <v>5000</v>
      </c>
      <c r="H33" s="122">
        <v>5000</v>
      </c>
      <c r="I33" s="122"/>
      <c r="J33" s="122"/>
      <c r="K33" s="122"/>
      <c r="L33" s="122"/>
      <c r="M33" s="122"/>
      <c r="N33" s="122"/>
      <c r="O33" s="122">
        <v>5000</v>
      </c>
      <c r="P33" s="122">
        <v>5000</v>
      </c>
      <c r="Q33" s="122">
        <v>5000</v>
      </c>
      <c r="R33" s="122">
        <v>5000</v>
      </c>
      <c r="S33" s="123"/>
      <c r="T33" s="116"/>
    </row>
    <row r="34" spans="1:20" ht="18.75" hidden="1">
      <c r="A34" s="117" t="s">
        <v>9</v>
      </c>
      <c r="B34" s="118" t="s">
        <v>428</v>
      </c>
      <c r="C34" s="119" t="s">
        <v>426</v>
      </c>
      <c r="D34" s="120"/>
      <c r="E34" s="121" t="s">
        <v>425</v>
      </c>
      <c r="F34" s="120"/>
      <c r="G34" s="122">
        <v>5000</v>
      </c>
      <c r="H34" s="122">
        <v>5000</v>
      </c>
      <c r="I34" s="122"/>
      <c r="J34" s="122"/>
      <c r="K34" s="122"/>
      <c r="L34" s="122"/>
      <c r="M34" s="122"/>
      <c r="N34" s="122"/>
      <c r="O34" s="122">
        <v>5000</v>
      </c>
      <c r="P34" s="122">
        <v>5000</v>
      </c>
      <c r="Q34" s="122">
        <v>5000</v>
      </c>
      <c r="R34" s="122">
        <v>5000</v>
      </c>
      <c r="S34" s="123"/>
      <c r="T34" s="116"/>
    </row>
    <row r="35" spans="1:20" ht="18.75" hidden="1">
      <c r="A35" s="117" t="s">
        <v>10</v>
      </c>
      <c r="B35" s="118" t="s">
        <v>427</v>
      </c>
      <c r="C35" s="119" t="s">
        <v>426</v>
      </c>
      <c r="D35" s="120"/>
      <c r="E35" s="121" t="s">
        <v>425</v>
      </c>
      <c r="F35" s="120"/>
      <c r="G35" s="122">
        <v>5000</v>
      </c>
      <c r="H35" s="122">
        <v>5000</v>
      </c>
      <c r="I35" s="122"/>
      <c r="J35" s="122"/>
      <c r="K35" s="122"/>
      <c r="L35" s="122"/>
      <c r="M35" s="122"/>
      <c r="N35" s="122"/>
      <c r="O35" s="122">
        <v>5000</v>
      </c>
      <c r="P35" s="122">
        <v>5000</v>
      </c>
      <c r="Q35" s="122">
        <v>5000</v>
      </c>
      <c r="R35" s="122">
        <v>5000</v>
      </c>
      <c r="S35" s="123"/>
      <c r="T35" s="116"/>
    </row>
    <row r="36" spans="1:20" ht="27.75" customHeight="1" hidden="1">
      <c r="A36" s="110" t="s">
        <v>43</v>
      </c>
      <c r="B36" s="124" t="s">
        <v>424</v>
      </c>
      <c r="C36" s="112"/>
      <c r="D36" s="112"/>
      <c r="E36" s="121"/>
      <c r="F36" s="113"/>
      <c r="G36" s="114">
        <f aca="true" t="shared" si="2" ref="G36:S36">G37+G39</f>
        <v>79966</v>
      </c>
      <c r="H36" s="114">
        <f t="shared" si="2"/>
        <v>47966</v>
      </c>
      <c r="I36" s="114">
        <f t="shared" si="2"/>
        <v>0</v>
      </c>
      <c r="J36" s="114">
        <f t="shared" si="2"/>
        <v>0</v>
      </c>
      <c r="K36" s="114">
        <f t="shared" si="2"/>
        <v>0</v>
      </c>
      <c r="L36" s="114">
        <f t="shared" si="2"/>
        <v>0</v>
      </c>
      <c r="M36" s="114">
        <f t="shared" si="2"/>
        <v>12000</v>
      </c>
      <c r="N36" s="114">
        <f t="shared" si="2"/>
        <v>0</v>
      </c>
      <c r="O36" s="114">
        <f t="shared" si="2"/>
        <v>67966</v>
      </c>
      <c r="P36" s="114">
        <f t="shared" si="2"/>
        <v>47966</v>
      </c>
      <c r="Q36" s="114">
        <f t="shared" si="2"/>
        <v>67966</v>
      </c>
      <c r="R36" s="114">
        <f t="shared" si="2"/>
        <v>47966</v>
      </c>
      <c r="S36" s="115">
        <f t="shared" si="2"/>
        <v>0</v>
      </c>
      <c r="T36" s="116"/>
    </row>
    <row r="37" spans="1:20" ht="27.75" customHeight="1" hidden="1">
      <c r="A37" s="110" t="s">
        <v>423</v>
      </c>
      <c r="B37" s="111" t="s">
        <v>422</v>
      </c>
      <c r="C37" s="112"/>
      <c r="D37" s="112"/>
      <c r="E37" s="121"/>
      <c r="F37" s="113"/>
      <c r="G37" s="114">
        <f aca="true" t="shared" si="3" ref="G37:S37">G38</f>
        <v>47360</v>
      </c>
      <c r="H37" s="114">
        <f t="shared" si="3"/>
        <v>15360</v>
      </c>
      <c r="I37" s="114">
        <f t="shared" si="3"/>
        <v>0</v>
      </c>
      <c r="J37" s="114">
        <f t="shared" si="3"/>
        <v>0</v>
      </c>
      <c r="K37" s="114">
        <f t="shared" si="3"/>
        <v>0</v>
      </c>
      <c r="L37" s="114">
        <f t="shared" si="3"/>
        <v>0</v>
      </c>
      <c r="M37" s="114">
        <f t="shared" si="3"/>
        <v>12000</v>
      </c>
      <c r="N37" s="114">
        <f t="shared" si="3"/>
        <v>0</v>
      </c>
      <c r="O37" s="114">
        <f t="shared" si="3"/>
        <v>35360</v>
      </c>
      <c r="P37" s="114">
        <f t="shared" si="3"/>
        <v>15360</v>
      </c>
      <c r="Q37" s="114">
        <f t="shared" si="3"/>
        <v>35360</v>
      </c>
      <c r="R37" s="114">
        <f t="shared" si="3"/>
        <v>15360</v>
      </c>
      <c r="S37" s="115">
        <f t="shared" si="3"/>
        <v>0</v>
      </c>
      <c r="T37" s="116"/>
    </row>
    <row r="38" spans="1:20" ht="56.25" hidden="1">
      <c r="A38" s="117" t="s">
        <v>87</v>
      </c>
      <c r="B38" s="118" t="s">
        <v>421</v>
      </c>
      <c r="C38" s="112" t="s">
        <v>6</v>
      </c>
      <c r="D38" s="112"/>
      <c r="E38" s="112"/>
      <c r="F38" s="112"/>
      <c r="G38" s="122">
        <v>47360</v>
      </c>
      <c r="H38" s="122">
        <v>15360</v>
      </c>
      <c r="I38" s="122"/>
      <c r="J38" s="122"/>
      <c r="K38" s="122"/>
      <c r="L38" s="122"/>
      <c r="M38" s="122">
        <v>12000</v>
      </c>
      <c r="N38" s="122">
        <v>0</v>
      </c>
      <c r="O38" s="122">
        <v>35360</v>
      </c>
      <c r="P38" s="122">
        <v>15360</v>
      </c>
      <c r="Q38" s="122">
        <v>35360</v>
      </c>
      <c r="R38" s="122">
        <v>15360</v>
      </c>
      <c r="S38" s="123">
        <v>0</v>
      </c>
      <c r="T38" s="116"/>
    </row>
    <row r="39" spans="1:20" ht="24.75" customHeight="1" hidden="1">
      <c r="A39" s="125" t="s">
        <v>420</v>
      </c>
      <c r="B39" s="111" t="s">
        <v>419</v>
      </c>
      <c r="C39" s="112"/>
      <c r="D39" s="112"/>
      <c r="E39" s="112"/>
      <c r="F39" s="112"/>
      <c r="G39" s="126">
        <f aca="true" t="shared" si="4" ref="G39:S39">SUM(G40:G42)</f>
        <v>32606</v>
      </c>
      <c r="H39" s="126">
        <f t="shared" si="4"/>
        <v>32606</v>
      </c>
      <c r="I39" s="126">
        <f t="shared" si="4"/>
        <v>0</v>
      </c>
      <c r="J39" s="126">
        <f t="shared" si="4"/>
        <v>0</v>
      </c>
      <c r="K39" s="126">
        <f t="shared" si="4"/>
        <v>0</v>
      </c>
      <c r="L39" s="126">
        <f t="shared" si="4"/>
        <v>0</v>
      </c>
      <c r="M39" s="126">
        <f t="shared" si="4"/>
        <v>0</v>
      </c>
      <c r="N39" s="126">
        <f t="shared" si="4"/>
        <v>0</v>
      </c>
      <c r="O39" s="126">
        <f t="shared" si="4"/>
        <v>32606</v>
      </c>
      <c r="P39" s="126">
        <f t="shared" si="4"/>
        <v>32606</v>
      </c>
      <c r="Q39" s="126">
        <f t="shared" si="4"/>
        <v>32606</v>
      </c>
      <c r="R39" s="126">
        <f t="shared" si="4"/>
        <v>32606</v>
      </c>
      <c r="S39" s="127">
        <f t="shared" si="4"/>
        <v>0</v>
      </c>
      <c r="T39" s="116"/>
    </row>
    <row r="40" spans="1:20" ht="50.25" customHeight="1" hidden="1">
      <c r="A40" s="117" t="s">
        <v>87</v>
      </c>
      <c r="B40" s="118" t="s">
        <v>418</v>
      </c>
      <c r="C40" s="112" t="s">
        <v>6</v>
      </c>
      <c r="D40" s="112"/>
      <c r="E40" s="112"/>
      <c r="F40" s="113" t="s">
        <v>417</v>
      </c>
      <c r="G40" s="122">
        <v>14990</v>
      </c>
      <c r="H40" s="122">
        <v>14990</v>
      </c>
      <c r="I40" s="122">
        <v>0</v>
      </c>
      <c r="J40" s="122"/>
      <c r="K40" s="122">
        <v>0</v>
      </c>
      <c r="L40" s="122"/>
      <c r="M40" s="122">
        <v>0</v>
      </c>
      <c r="N40" s="122"/>
      <c r="O40" s="122">
        <v>14990</v>
      </c>
      <c r="P40" s="122">
        <v>14990</v>
      </c>
      <c r="Q40" s="122">
        <v>14990</v>
      </c>
      <c r="R40" s="122">
        <v>14990</v>
      </c>
      <c r="S40" s="123"/>
      <c r="T40" s="116"/>
    </row>
    <row r="41" spans="1:20" ht="37.5" hidden="1">
      <c r="A41" s="117" t="s">
        <v>90</v>
      </c>
      <c r="B41" s="118" t="s">
        <v>416</v>
      </c>
      <c r="C41" s="112" t="s">
        <v>6</v>
      </c>
      <c r="D41" s="112" t="s">
        <v>413</v>
      </c>
      <c r="E41" s="112"/>
      <c r="F41" s="112"/>
      <c r="G41" s="122">
        <v>7616</v>
      </c>
      <c r="H41" s="122">
        <v>7616</v>
      </c>
      <c r="I41" s="122"/>
      <c r="J41" s="122"/>
      <c r="K41" s="122"/>
      <c r="L41" s="122"/>
      <c r="M41" s="122"/>
      <c r="N41" s="122"/>
      <c r="O41" s="122">
        <v>7616</v>
      </c>
      <c r="P41" s="122">
        <v>7616</v>
      </c>
      <c r="Q41" s="122">
        <v>7616</v>
      </c>
      <c r="R41" s="122">
        <v>7616</v>
      </c>
      <c r="S41" s="123"/>
      <c r="T41" s="116"/>
    </row>
    <row r="42" spans="1:20" ht="37.5" hidden="1">
      <c r="A42" s="128" t="s">
        <v>229</v>
      </c>
      <c r="B42" s="129" t="s">
        <v>415</v>
      </c>
      <c r="C42" s="130" t="s">
        <v>414</v>
      </c>
      <c r="D42" s="130" t="s">
        <v>413</v>
      </c>
      <c r="E42" s="130"/>
      <c r="F42" s="130"/>
      <c r="G42" s="131">
        <f>H42</f>
        <v>10000</v>
      </c>
      <c r="H42" s="131">
        <v>10000</v>
      </c>
      <c r="I42" s="131"/>
      <c r="J42" s="131"/>
      <c r="K42" s="131"/>
      <c r="L42" s="131"/>
      <c r="M42" s="131"/>
      <c r="N42" s="131"/>
      <c r="O42" s="131">
        <f>P42</f>
        <v>10000</v>
      </c>
      <c r="P42" s="131">
        <v>10000</v>
      </c>
      <c r="Q42" s="131">
        <f>R42</f>
        <v>10000</v>
      </c>
      <c r="R42" s="131">
        <v>10000</v>
      </c>
      <c r="S42" s="132"/>
      <c r="T42" s="133"/>
    </row>
  </sheetData>
  <sheetProtection/>
  <mergeCells count="37">
    <mergeCell ref="A4:T4"/>
    <mergeCell ref="O8:S8"/>
    <mergeCell ref="G10:H10"/>
    <mergeCell ref="O10:O14"/>
    <mergeCell ref="F8:H9"/>
    <mergeCell ref="I8:N8"/>
    <mergeCell ref="F10:F14"/>
    <mergeCell ref="P10:P14"/>
    <mergeCell ref="H11:H14"/>
    <mergeCell ref="K9:L9"/>
    <mergeCell ref="M9:N9"/>
    <mergeCell ref="O9:P9"/>
    <mergeCell ref="J11:J14"/>
    <mergeCell ref="K11:K14"/>
    <mergeCell ref="L11:L14"/>
    <mergeCell ref="M10:M14"/>
    <mergeCell ref="N10:N14"/>
    <mergeCell ref="A1:T1"/>
    <mergeCell ref="A3:T3"/>
    <mergeCell ref="A5:T5"/>
    <mergeCell ref="A6:T6"/>
    <mergeCell ref="A7:T7"/>
    <mergeCell ref="Q10:Q14"/>
    <mergeCell ref="R10:R14"/>
    <mergeCell ref="G11:G14"/>
    <mergeCell ref="T8:T14"/>
    <mergeCell ref="I9:J9"/>
    <mergeCell ref="S9:S14"/>
    <mergeCell ref="A8:A14"/>
    <mergeCell ref="B8:B14"/>
    <mergeCell ref="C8:C14"/>
    <mergeCell ref="D8:D14"/>
    <mergeCell ref="E8:E14"/>
    <mergeCell ref="Q9:R9"/>
    <mergeCell ref="I10:J10"/>
    <mergeCell ref="K10:L10"/>
    <mergeCell ref="I11:I14"/>
  </mergeCells>
  <printOptions horizontalCentered="1"/>
  <pageMargins left="0.5" right="0.37" top="0.41" bottom="0.45" header="0.196850393700787" footer="0.24"/>
  <pageSetup horizontalDpi="600" verticalDpi="600" orientation="landscape" paperSize="9" scale="61" r:id="rId1"/>
  <headerFooter>
    <oddFooter>&amp;R&amp;P/&amp;N</oddFooter>
  </headerFooter>
</worksheet>
</file>

<file path=xl/worksheets/sheet5.xml><?xml version="1.0" encoding="utf-8"?>
<worksheet xmlns="http://schemas.openxmlformats.org/spreadsheetml/2006/main" xmlns:r="http://schemas.openxmlformats.org/officeDocument/2006/relationships">
  <dimension ref="A1:IE429"/>
  <sheetViews>
    <sheetView view="pageBreakPreview" zoomScaleSheetLayoutView="100" zoomScalePageLayoutView="0" workbookViewId="0" topLeftCell="A1">
      <selection activeCell="U63" sqref="U63"/>
    </sheetView>
  </sheetViews>
  <sheetFormatPr defaultColWidth="9.140625" defaultRowHeight="12.75"/>
  <cols>
    <col min="1" max="1" width="4.28125" style="49" customWidth="1"/>
    <col min="2" max="2" width="32.57421875" style="55" customWidth="1"/>
    <col min="3" max="3" width="12.140625" style="61" customWidth="1"/>
    <col min="4" max="4" width="11.00390625" style="16" hidden="1" customWidth="1"/>
    <col min="5" max="5" width="11.00390625" style="16" customWidth="1"/>
    <col min="6" max="6" width="17.7109375" style="16" customWidth="1"/>
    <col min="7" max="7" width="10.57421875" style="58" customWidth="1"/>
    <col min="8" max="8" width="8.7109375" style="58" customWidth="1"/>
    <col min="9" max="9" width="11.57421875" style="58" hidden="1" customWidth="1"/>
    <col min="10" max="10" width="11.140625" style="58" hidden="1" customWidth="1"/>
    <col min="11" max="11" width="11.421875" style="58" hidden="1" customWidth="1"/>
    <col min="12" max="13" width="11.7109375" style="58" hidden="1" customWidth="1"/>
    <col min="14" max="14" width="9.00390625" style="58" hidden="1" customWidth="1"/>
    <col min="15" max="15" width="6.57421875" style="58" hidden="1" customWidth="1"/>
    <col min="16" max="16" width="6.7109375" style="41" hidden="1" customWidth="1"/>
    <col min="17" max="17" width="9.8515625" style="58" hidden="1" customWidth="1"/>
    <col min="18" max="18" width="10.7109375" style="58" hidden="1" customWidth="1"/>
    <col min="19" max="19" width="8.28125" style="58" hidden="1" customWidth="1"/>
    <col min="20" max="20" width="8.57421875" style="59" customWidth="1"/>
    <col min="21" max="21" width="8.140625" style="59" customWidth="1"/>
    <col min="22" max="22" width="10.28125" style="59" customWidth="1"/>
    <col min="23" max="23" width="8.421875" style="59" customWidth="1"/>
    <col min="24" max="24" width="10.140625" style="59" customWidth="1"/>
    <col min="25" max="25" width="7.28125" style="59" hidden="1" customWidth="1"/>
    <col min="26" max="26" width="13.00390625" style="56" customWidth="1"/>
    <col min="27" max="28" width="10.28125" style="56" customWidth="1"/>
    <col min="29" max="29" width="14.57421875" style="60" customWidth="1"/>
    <col min="30" max="30" width="7.57421875" style="60" customWidth="1"/>
    <col min="31" max="32" width="8.7109375" style="60" customWidth="1"/>
    <col min="33" max="33" width="8.421875" style="60" customWidth="1"/>
    <col min="34" max="34" width="14.7109375" style="48" customWidth="1"/>
    <col min="35" max="35" width="14.140625" style="48" customWidth="1"/>
    <col min="36" max="36" width="11.140625" style="48" customWidth="1"/>
    <col min="37" max="41" width="10.421875" style="48" customWidth="1"/>
    <col min="42" max="42" width="11.421875" style="48" bestFit="1" customWidth="1"/>
    <col min="43" max="43" width="10.140625" style="48" bestFit="1" customWidth="1"/>
    <col min="44" max="16384" width="9.140625" style="48" customWidth="1"/>
  </cols>
  <sheetData>
    <row r="1" spans="1:33" s="2" customFormat="1" ht="19.5" customHeight="1">
      <c r="A1" s="642" t="s">
        <v>959</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3"/>
      <c r="AB1" s="3"/>
      <c r="AC1" s="4"/>
      <c r="AD1" s="4"/>
      <c r="AE1" s="4"/>
      <c r="AF1" s="4"/>
      <c r="AG1" s="1"/>
    </row>
    <row r="2" spans="1:35" s="2" customFormat="1" ht="27" customHeight="1">
      <c r="A2" s="643" t="s">
        <v>960</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5"/>
      <c r="AB2" s="5"/>
      <c r="AC2" s="6"/>
      <c r="AD2" s="6"/>
      <c r="AE2" s="6"/>
      <c r="AF2" s="6"/>
      <c r="AG2" s="6"/>
      <c r="AH2" s="173"/>
      <c r="AI2" s="173"/>
    </row>
    <row r="3" spans="1:33" s="2" customFormat="1" ht="13.5" customHeight="1">
      <c r="A3" s="644" t="str">
        <f>+'Bieu 10 Von 2016'!A4:AA4</f>
        <v>(Kèm theo Báo cáo số:                   /BC-UBND ngày          /11/2015 của UBND tỉnh Điện Biên) </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8"/>
      <c r="AB3" s="8"/>
      <c r="AC3" s="9"/>
      <c r="AD3" s="9"/>
      <c r="AE3" s="9"/>
      <c r="AF3" s="9"/>
      <c r="AG3" s="9"/>
    </row>
    <row r="4" spans="1:33" s="11" customFormat="1" ht="15" customHeight="1">
      <c r="A4" s="645" t="s">
        <v>23</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81"/>
      <c r="AB4" s="81"/>
      <c r="AC4" s="10"/>
      <c r="AD4" s="10"/>
      <c r="AE4" s="10"/>
      <c r="AF4" s="10"/>
      <c r="AG4" s="10"/>
    </row>
    <row r="5" spans="1:33" s="16" customFormat="1" ht="12.75">
      <c r="A5" s="633" t="s">
        <v>24</v>
      </c>
      <c r="B5" s="633" t="s">
        <v>25</v>
      </c>
      <c r="C5" s="629" t="s">
        <v>26</v>
      </c>
      <c r="D5" s="633" t="s">
        <v>27</v>
      </c>
      <c r="E5" s="633" t="s">
        <v>28</v>
      </c>
      <c r="F5" s="633" t="s">
        <v>301</v>
      </c>
      <c r="G5" s="633"/>
      <c r="H5" s="633"/>
      <c r="I5" s="633" t="s">
        <v>29</v>
      </c>
      <c r="J5" s="633"/>
      <c r="K5" s="633"/>
      <c r="L5" s="14" t="s">
        <v>30</v>
      </c>
      <c r="M5" s="14"/>
      <c r="N5" s="647" t="s">
        <v>30</v>
      </c>
      <c r="O5" s="647"/>
      <c r="P5" s="647"/>
      <c r="Q5" s="14"/>
      <c r="R5" s="14"/>
      <c r="S5" s="14"/>
      <c r="T5" s="646" t="s">
        <v>15</v>
      </c>
      <c r="U5" s="646"/>
      <c r="V5" s="646"/>
      <c r="W5" s="646"/>
      <c r="X5" s="646"/>
      <c r="Y5" s="15"/>
      <c r="Z5" s="629" t="s">
        <v>363</v>
      </c>
      <c r="AA5" s="637"/>
      <c r="AB5" s="80"/>
      <c r="AC5" s="629" t="s">
        <v>490</v>
      </c>
      <c r="AD5" s="630" t="s">
        <v>493</v>
      </c>
      <c r="AE5" s="630" t="s">
        <v>494</v>
      </c>
      <c r="AF5" s="630" t="s">
        <v>495</v>
      </c>
      <c r="AG5" s="630" t="s">
        <v>491</v>
      </c>
    </row>
    <row r="6" spans="1:33" s="18" customFormat="1" ht="12.75">
      <c r="A6" s="633"/>
      <c r="B6" s="633"/>
      <c r="C6" s="629"/>
      <c r="D6" s="633"/>
      <c r="E6" s="633"/>
      <c r="F6" s="633"/>
      <c r="G6" s="633"/>
      <c r="H6" s="633"/>
      <c r="I6" s="633"/>
      <c r="J6" s="633"/>
      <c r="K6" s="633"/>
      <c r="L6" s="633" t="s">
        <v>32</v>
      </c>
      <c r="M6" s="633"/>
      <c r="N6" s="633" t="s">
        <v>33</v>
      </c>
      <c r="O6" s="633"/>
      <c r="P6" s="633" t="s">
        <v>395</v>
      </c>
      <c r="Q6" s="12"/>
      <c r="R6" s="12"/>
      <c r="S6" s="12"/>
      <c r="T6" s="648" t="s">
        <v>862</v>
      </c>
      <c r="U6" s="634"/>
      <c r="V6" s="634"/>
      <c r="W6" s="634" t="s">
        <v>312</v>
      </c>
      <c r="X6" s="634"/>
      <c r="Y6" s="17"/>
      <c r="Z6" s="629"/>
      <c r="AA6" s="637"/>
      <c r="AB6" s="80"/>
      <c r="AC6" s="629"/>
      <c r="AD6" s="631"/>
      <c r="AE6" s="631"/>
      <c r="AF6" s="631"/>
      <c r="AG6" s="631"/>
    </row>
    <row r="7" spans="1:37" s="18" customFormat="1" ht="18" customHeight="1">
      <c r="A7" s="633"/>
      <c r="B7" s="633"/>
      <c r="C7" s="629"/>
      <c r="D7" s="633"/>
      <c r="E7" s="633"/>
      <c r="F7" s="633" t="s">
        <v>34</v>
      </c>
      <c r="G7" s="633" t="s">
        <v>35</v>
      </c>
      <c r="H7" s="633"/>
      <c r="I7" s="633" t="s">
        <v>34</v>
      </c>
      <c r="J7" s="633" t="s">
        <v>35</v>
      </c>
      <c r="K7" s="633"/>
      <c r="L7" s="633" t="s">
        <v>36</v>
      </c>
      <c r="M7" s="633"/>
      <c r="N7" s="633" t="s">
        <v>36</v>
      </c>
      <c r="O7" s="633"/>
      <c r="P7" s="633"/>
      <c r="Q7" s="12" t="s">
        <v>296</v>
      </c>
      <c r="R7" s="12"/>
      <c r="S7" s="12"/>
      <c r="T7" s="634" t="s">
        <v>273</v>
      </c>
      <c r="U7" s="634" t="s">
        <v>275</v>
      </c>
      <c r="V7" s="634"/>
      <c r="W7" s="634" t="s">
        <v>308</v>
      </c>
      <c r="X7" s="634" t="s">
        <v>279</v>
      </c>
      <c r="Y7" s="17"/>
      <c r="Z7" s="629"/>
      <c r="AA7" s="637"/>
      <c r="AB7" s="80"/>
      <c r="AC7" s="629"/>
      <c r="AD7" s="631"/>
      <c r="AE7" s="631"/>
      <c r="AF7" s="631"/>
      <c r="AG7" s="631"/>
      <c r="AH7" s="639"/>
      <c r="AI7" s="638"/>
      <c r="AJ7" s="638"/>
      <c r="AK7" s="638"/>
    </row>
    <row r="8" spans="1:33" s="18" customFormat="1" ht="32.25" customHeight="1">
      <c r="A8" s="633"/>
      <c r="B8" s="633"/>
      <c r="C8" s="629"/>
      <c r="D8" s="633"/>
      <c r="E8" s="633"/>
      <c r="F8" s="633"/>
      <c r="G8" s="633" t="s">
        <v>37</v>
      </c>
      <c r="H8" s="633" t="s">
        <v>296</v>
      </c>
      <c r="I8" s="633"/>
      <c r="J8" s="633" t="s">
        <v>37</v>
      </c>
      <c r="K8" s="633" t="s">
        <v>299</v>
      </c>
      <c r="L8" s="633" t="s">
        <v>37</v>
      </c>
      <c r="M8" s="633" t="s">
        <v>299</v>
      </c>
      <c r="N8" s="633" t="s">
        <v>37</v>
      </c>
      <c r="O8" s="633" t="s">
        <v>299</v>
      </c>
      <c r="P8" s="633"/>
      <c r="Q8" s="12" t="s">
        <v>36</v>
      </c>
      <c r="R8" s="12" t="s">
        <v>300</v>
      </c>
      <c r="S8" s="13" t="s">
        <v>38</v>
      </c>
      <c r="T8" s="634"/>
      <c r="U8" s="634" t="s">
        <v>31</v>
      </c>
      <c r="V8" s="634" t="s">
        <v>279</v>
      </c>
      <c r="W8" s="634"/>
      <c r="X8" s="634"/>
      <c r="Y8" s="17"/>
      <c r="Z8" s="629"/>
      <c r="AA8" s="637"/>
      <c r="AB8" s="80"/>
      <c r="AC8" s="629"/>
      <c r="AD8" s="631"/>
      <c r="AE8" s="631"/>
      <c r="AF8" s="631"/>
      <c r="AG8" s="631"/>
    </row>
    <row r="9" spans="1:33" s="19" customFormat="1" ht="14.25" customHeight="1">
      <c r="A9" s="633"/>
      <c r="B9" s="633"/>
      <c r="C9" s="629"/>
      <c r="D9" s="633"/>
      <c r="E9" s="633"/>
      <c r="F9" s="633"/>
      <c r="G9" s="633"/>
      <c r="H9" s="633"/>
      <c r="I9" s="633"/>
      <c r="J9" s="633"/>
      <c r="K9" s="633"/>
      <c r="L9" s="633"/>
      <c r="M9" s="633"/>
      <c r="N9" s="633"/>
      <c r="O9" s="633"/>
      <c r="P9" s="633"/>
      <c r="Q9" s="12"/>
      <c r="R9" s="12"/>
      <c r="S9" s="13"/>
      <c r="T9" s="634"/>
      <c r="U9" s="634"/>
      <c r="V9" s="634"/>
      <c r="W9" s="634"/>
      <c r="X9" s="634"/>
      <c r="Y9" s="17"/>
      <c r="Z9" s="629"/>
      <c r="AA9" s="637"/>
      <c r="AB9" s="80"/>
      <c r="AC9" s="629"/>
      <c r="AD9" s="632"/>
      <c r="AE9" s="632"/>
      <c r="AF9" s="632"/>
      <c r="AG9" s="632"/>
    </row>
    <row r="10" spans="1:33" s="18" customFormat="1" ht="15.75" customHeight="1" hidden="1">
      <c r="A10" s="633"/>
      <c r="B10" s="633"/>
      <c r="C10" s="629"/>
      <c r="D10" s="633"/>
      <c r="E10" s="633"/>
      <c r="F10" s="633"/>
      <c r="G10" s="633"/>
      <c r="H10" s="633"/>
      <c r="I10" s="633"/>
      <c r="J10" s="633"/>
      <c r="K10" s="633"/>
      <c r="L10" s="633"/>
      <c r="M10" s="633"/>
      <c r="N10" s="633"/>
      <c r="O10" s="633"/>
      <c r="P10" s="20"/>
      <c r="Q10" s="20"/>
      <c r="R10" s="21"/>
      <c r="S10" s="22"/>
      <c r="T10" s="634"/>
      <c r="U10" s="634"/>
      <c r="V10" s="23"/>
      <c r="W10" s="23"/>
      <c r="X10" s="23"/>
      <c r="Y10" s="23"/>
      <c r="Z10" s="629"/>
      <c r="AA10" s="637"/>
      <c r="AB10" s="80"/>
      <c r="AC10" s="13"/>
      <c r="AD10" s="13"/>
      <c r="AE10" s="13"/>
      <c r="AF10" s="13"/>
      <c r="AG10" s="22"/>
    </row>
    <row r="11" spans="1:33" s="18" customFormat="1" ht="15.75" customHeight="1" hidden="1">
      <c r="A11" s="633"/>
      <c r="B11" s="633"/>
      <c r="C11" s="629"/>
      <c r="D11" s="633"/>
      <c r="E11" s="633"/>
      <c r="F11" s="633"/>
      <c r="G11" s="633"/>
      <c r="H11" s="633"/>
      <c r="I11" s="633"/>
      <c r="J11" s="633"/>
      <c r="K11" s="633"/>
      <c r="L11" s="633"/>
      <c r="M11" s="633"/>
      <c r="N11" s="633"/>
      <c r="O11" s="633"/>
      <c r="P11" s="20"/>
      <c r="Q11" s="20"/>
      <c r="R11" s="21"/>
      <c r="S11" s="22"/>
      <c r="T11" s="634"/>
      <c r="U11" s="634"/>
      <c r="V11" s="24"/>
      <c r="W11" s="24"/>
      <c r="X11" s="24"/>
      <c r="Y11" s="24"/>
      <c r="Z11" s="629"/>
      <c r="AA11" s="637"/>
      <c r="AB11" s="80"/>
      <c r="AC11" s="13"/>
      <c r="AD11" s="13"/>
      <c r="AE11" s="13"/>
      <c r="AF11" s="13"/>
      <c r="AG11" s="22"/>
    </row>
    <row r="12" spans="1:33" s="31" customFormat="1" ht="17.25" customHeight="1">
      <c r="A12" s="25">
        <v>1</v>
      </c>
      <c r="B12" s="25">
        <v>2</v>
      </c>
      <c r="C12" s="26">
        <v>3</v>
      </c>
      <c r="D12" s="25">
        <v>4</v>
      </c>
      <c r="E12" s="25">
        <v>4</v>
      </c>
      <c r="F12" s="25">
        <v>5</v>
      </c>
      <c r="G12" s="25">
        <v>6</v>
      </c>
      <c r="H12" s="25">
        <v>7</v>
      </c>
      <c r="I12" s="25">
        <v>9</v>
      </c>
      <c r="J12" s="25">
        <v>10</v>
      </c>
      <c r="K12" s="25">
        <v>11</v>
      </c>
      <c r="L12" s="25">
        <v>12</v>
      </c>
      <c r="M12" s="25">
        <v>13</v>
      </c>
      <c r="N12" s="25">
        <v>8</v>
      </c>
      <c r="O12" s="25">
        <v>9</v>
      </c>
      <c r="P12" s="27">
        <v>10</v>
      </c>
      <c r="Q12" s="25">
        <v>18</v>
      </c>
      <c r="R12" s="25">
        <v>19</v>
      </c>
      <c r="S12" s="25">
        <v>20</v>
      </c>
      <c r="T12" s="28">
        <v>8</v>
      </c>
      <c r="U12" s="28">
        <v>9</v>
      </c>
      <c r="V12" s="28">
        <v>10</v>
      </c>
      <c r="W12" s="28">
        <v>11</v>
      </c>
      <c r="X12" s="28">
        <v>12</v>
      </c>
      <c r="Y12" s="28"/>
      <c r="Z12" s="26">
        <v>13</v>
      </c>
      <c r="AA12" s="29"/>
      <c r="AB12" s="29"/>
      <c r="AC12" s="26"/>
      <c r="AD12" s="26"/>
      <c r="AE12" s="26"/>
      <c r="AF12" s="26"/>
      <c r="AG12" s="30"/>
    </row>
    <row r="13" spans="1:33" s="169" customFormat="1" ht="17.25" customHeight="1">
      <c r="A13" s="174"/>
      <c r="B13" s="174" t="s">
        <v>310</v>
      </c>
      <c r="C13" s="168"/>
      <c r="D13" s="168"/>
      <c r="E13" s="168"/>
      <c r="F13" s="168"/>
      <c r="G13" s="68">
        <f>G21+G61</f>
        <v>2234994.8510000003</v>
      </c>
      <c r="H13" s="68">
        <f>H21+H61</f>
        <v>116749.95999999999</v>
      </c>
      <c r="I13" s="68"/>
      <c r="J13" s="68"/>
      <c r="K13" s="68"/>
      <c r="L13" s="68"/>
      <c r="M13" s="68"/>
      <c r="N13" s="68">
        <f>N21+N61</f>
        <v>721465.99</v>
      </c>
      <c r="O13" s="68">
        <f>O21+O61</f>
        <v>10104</v>
      </c>
      <c r="P13" s="68">
        <f>P21+P61</f>
        <v>60202</v>
      </c>
      <c r="Q13" s="68"/>
      <c r="R13" s="68"/>
      <c r="S13" s="68"/>
      <c r="T13" s="68">
        <f>T21+T61</f>
        <v>112202.46820833001</v>
      </c>
      <c r="U13" s="68">
        <f>U21+U61</f>
        <v>90885.06</v>
      </c>
      <c r="V13" s="68">
        <f>V21+V61</f>
        <v>37249.80820833</v>
      </c>
      <c r="W13" s="68">
        <f>W21+W61</f>
        <v>36029.808208329996</v>
      </c>
      <c r="X13" s="175">
        <f>X21+X61</f>
        <v>23096.80820833</v>
      </c>
      <c r="Y13" s="175"/>
      <c r="Z13" s="176"/>
      <c r="AA13" s="177"/>
      <c r="AB13" s="177"/>
      <c r="AC13" s="176"/>
      <c r="AD13" s="176"/>
      <c r="AE13" s="176"/>
      <c r="AF13" s="176"/>
      <c r="AG13" s="178"/>
    </row>
    <row r="14" spans="1:33" s="35" customFormat="1" ht="14.25" customHeight="1" hidden="1">
      <c r="A14" s="45"/>
      <c r="B14" s="34" t="s">
        <v>325</v>
      </c>
      <c r="C14" s="67"/>
      <c r="D14" s="67"/>
      <c r="E14" s="67"/>
      <c r="F14" s="67"/>
      <c r="G14" s="69"/>
      <c r="H14" s="69"/>
      <c r="I14" s="69"/>
      <c r="J14" s="69"/>
      <c r="K14" s="69"/>
      <c r="L14" s="69"/>
      <c r="M14" s="69"/>
      <c r="N14" s="69"/>
      <c r="O14" s="69"/>
      <c r="P14" s="70"/>
      <c r="Q14" s="69"/>
      <c r="R14" s="69"/>
      <c r="S14" s="69"/>
      <c r="T14" s="68"/>
      <c r="U14" s="68"/>
      <c r="V14" s="68"/>
      <c r="W14" s="68"/>
      <c r="X14" s="68"/>
      <c r="Y14" s="68"/>
      <c r="Z14" s="33"/>
      <c r="AA14" s="32"/>
      <c r="AB14" s="32">
        <f aca="true" t="shared" si="0" ref="AB14:AB20">+W14-AA14</f>
        <v>0</v>
      </c>
      <c r="AC14" s="33"/>
      <c r="AD14" s="33"/>
      <c r="AE14" s="33"/>
      <c r="AF14" s="33"/>
      <c r="AG14" s="34"/>
    </row>
    <row r="15" spans="1:33" s="35" customFormat="1" ht="15.75" customHeight="1" hidden="1">
      <c r="A15" s="45"/>
      <c r="B15" s="34" t="s">
        <v>54</v>
      </c>
      <c r="C15" s="67"/>
      <c r="D15" s="67"/>
      <c r="E15" s="67"/>
      <c r="F15" s="67"/>
      <c r="G15" s="69"/>
      <c r="H15" s="69"/>
      <c r="I15" s="69"/>
      <c r="J15" s="69"/>
      <c r="K15" s="69"/>
      <c r="L15" s="69"/>
      <c r="M15" s="69"/>
      <c r="N15" s="69"/>
      <c r="O15" s="69"/>
      <c r="P15" s="70"/>
      <c r="Q15" s="69"/>
      <c r="R15" s="69"/>
      <c r="S15" s="69"/>
      <c r="T15" s="68"/>
      <c r="U15" s="68"/>
      <c r="V15" s="68"/>
      <c r="W15" s="68"/>
      <c r="X15" s="68"/>
      <c r="Y15" s="68"/>
      <c r="Z15" s="33"/>
      <c r="AA15" s="32"/>
      <c r="AB15" s="32">
        <f t="shared" si="0"/>
        <v>0</v>
      </c>
      <c r="AC15" s="33"/>
      <c r="AD15" s="33"/>
      <c r="AE15" s="33"/>
      <c r="AF15" s="33"/>
      <c r="AG15" s="34"/>
    </row>
    <row r="16" spans="1:33" s="35" customFormat="1" ht="18" customHeight="1" hidden="1">
      <c r="A16" s="45"/>
      <c r="B16" s="34" t="s">
        <v>408</v>
      </c>
      <c r="C16" s="67"/>
      <c r="D16" s="67"/>
      <c r="E16" s="67"/>
      <c r="F16" s="67"/>
      <c r="G16" s="69"/>
      <c r="H16" s="69"/>
      <c r="I16" s="69"/>
      <c r="J16" s="69"/>
      <c r="K16" s="69"/>
      <c r="L16" s="69"/>
      <c r="M16" s="69"/>
      <c r="N16" s="69"/>
      <c r="O16" s="69"/>
      <c r="P16" s="70"/>
      <c r="Q16" s="69"/>
      <c r="R16" s="69"/>
      <c r="S16" s="69"/>
      <c r="T16" s="68"/>
      <c r="U16" s="68"/>
      <c r="V16" s="68"/>
      <c r="W16" s="68"/>
      <c r="X16" s="68"/>
      <c r="Y16" s="68"/>
      <c r="Z16" s="33"/>
      <c r="AA16" s="32"/>
      <c r="AB16" s="32">
        <f t="shared" si="0"/>
        <v>0</v>
      </c>
      <c r="AC16" s="33"/>
      <c r="AD16" s="33"/>
      <c r="AE16" s="33"/>
      <c r="AF16" s="33"/>
      <c r="AG16" s="34"/>
    </row>
    <row r="17" spans="1:34" s="35" customFormat="1" ht="110.25" customHeight="1" hidden="1">
      <c r="A17" s="45"/>
      <c r="B17" s="34" t="s">
        <v>407</v>
      </c>
      <c r="C17" s="67"/>
      <c r="D17" s="67"/>
      <c r="E17" s="67"/>
      <c r="F17" s="67"/>
      <c r="G17" s="69"/>
      <c r="H17" s="69"/>
      <c r="I17" s="69"/>
      <c r="J17" s="69"/>
      <c r="K17" s="69"/>
      <c r="L17" s="69"/>
      <c r="M17" s="69"/>
      <c r="N17" s="69"/>
      <c r="O17" s="69"/>
      <c r="P17" s="70"/>
      <c r="Q17" s="69"/>
      <c r="R17" s="69"/>
      <c r="S17" s="69"/>
      <c r="T17" s="68"/>
      <c r="U17" s="68"/>
      <c r="V17" s="68"/>
      <c r="W17" s="68"/>
      <c r="X17" s="648" t="s">
        <v>472</v>
      </c>
      <c r="Y17" s="648"/>
      <c r="Z17" s="648"/>
      <c r="AA17" s="65"/>
      <c r="AB17" s="32">
        <f t="shared" si="0"/>
        <v>0</v>
      </c>
      <c r="AC17" s="37"/>
      <c r="AD17" s="37"/>
      <c r="AE17" s="37"/>
      <c r="AF17" s="37"/>
      <c r="AG17" s="34">
        <v>64898</v>
      </c>
      <c r="AH17" s="35">
        <f>W17-AG17</f>
        <v>-64898</v>
      </c>
    </row>
    <row r="18" spans="1:33" s="35" customFormat="1" ht="20.25" customHeight="1" hidden="1">
      <c r="A18" s="45"/>
      <c r="B18" s="34" t="s">
        <v>53</v>
      </c>
      <c r="C18" s="67"/>
      <c r="D18" s="67"/>
      <c r="E18" s="67"/>
      <c r="F18" s="67"/>
      <c r="G18" s="69"/>
      <c r="H18" s="69"/>
      <c r="I18" s="69"/>
      <c r="J18" s="69"/>
      <c r="K18" s="69"/>
      <c r="L18" s="69"/>
      <c r="M18" s="69"/>
      <c r="N18" s="69"/>
      <c r="O18" s="69"/>
      <c r="P18" s="70"/>
      <c r="Q18" s="69"/>
      <c r="R18" s="69"/>
      <c r="S18" s="69"/>
      <c r="T18" s="68"/>
      <c r="U18" s="68"/>
      <c r="V18" s="68"/>
      <c r="W18" s="68"/>
      <c r="X18" s="68"/>
      <c r="Y18" s="68"/>
      <c r="Z18" s="33"/>
      <c r="AA18" s="32"/>
      <c r="AB18" s="32">
        <f t="shared" si="0"/>
        <v>0</v>
      </c>
      <c r="AC18" s="33"/>
      <c r="AD18" s="33"/>
      <c r="AE18" s="33"/>
      <c r="AF18" s="33"/>
      <c r="AG18" s="34"/>
    </row>
    <row r="19" spans="1:33" s="35" customFormat="1" ht="20.25" customHeight="1" hidden="1">
      <c r="A19" s="45"/>
      <c r="B19" s="34" t="s">
        <v>412</v>
      </c>
      <c r="C19" s="67"/>
      <c r="D19" s="67"/>
      <c r="E19" s="67"/>
      <c r="F19" s="67"/>
      <c r="G19" s="69"/>
      <c r="H19" s="69"/>
      <c r="I19" s="69"/>
      <c r="J19" s="69"/>
      <c r="K19" s="69"/>
      <c r="L19" s="69"/>
      <c r="M19" s="69"/>
      <c r="N19" s="69"/>
      <c r="O19" s="69"/>
      <c r="P19" s="70"/>
      <c r="Q19" s="69"/>
      <c r="R19" s="69"/>
      <c r="S19" s="69"/>
      <c r="T19" s="68"/>
      <c r="U19" s="68"/>
      <c r="V19" s="68"/>
      <c r="W19" s="68"/>
      <c r="X19" s="68"/>
      <c r="Y19" s="68"/>
      <c r="Z19" s="33"/>
      <c r="AA19" s="32"/>
      <c r="AB19" s="32">
        <f t="shared" si="0"/>
        <v>0</v>
      </c>
      <c r="AC19" s="33"/>
      <c r="AD19" s="33"/>
      <c r="AE19" s="33"/>
      <c r="AF19" s="33"/>
      <c r="AG19" s="34"/>
    </row>
    <row r="20" spans="1:33" s="38" customFormat="1" ht="15.75" customHeight="1" hidden="1">
      <c r="A20" s="45"/>
      <c r="B20" s="34" t="s">
        <v>324</v>
      </c>
      <c r="C20" s="26"/>
      <c r="D20" s="26"/>
      <c r="E20" s="26"/>
      <c r="F20" s="26"/>
      <c r="G20" s="71"/>
      <c r="H20" s="71"/>
      <c r="I20" s="71"/>
      <c r="J20" s="71"/>
      <c r="K20" s="71"/>
      <c r="L20" s="71"/>
      <c r="M20" s="71"/>
      <c r="N20" s="71"/>
      <c r="O20" s="71"/>
      <c r="P20" s="72"/>
      <c r="Q20" s="71"/>
      <c r="R20" s="71"/>
      <c r="S20" s="71"/>
      <c r="T20" s="68"/>
      <c r="U20" s="68"/>
      <c r="V20" s="68"/>
      <c r="W20" s="68"/>
      <c r="X20" s="73"/>
      <c r="Y20" s="73"/>
      <c r="Z20" s="37"/>
      <c r="AA20" s="36"/>
      <c r="AB20" s="32">
        <f t="shared" si="0"/>
        <v>0</v>
      </c>
      <c r="AC20" s="37"/>
      <c r="AD20" s="37"/>
      <c r="AE20" s="37"/>
      <c r="AF20" s="37"/>
      <c r="AG20" s="24"/>
    </row>
    <row r="21" spans="1:33" s="35" customFormat="1" ht="20.25" customHeight="1">
      <c r="A21" s="45" t="s">
        <v>39</v>
      </c>
      <c r="B21" s="34" t="s">
        <v>643</v>
      </c>
      <c r="C21" s="67"/>
      <c r="D21" s="67"/>
      <c r="E21" s="67"/>
      <c r="F21" s="67"/>
      <c r="G21" s="69">
        <f aca="true" t="shared" si="1" ref="G21:X21">G23+G30+G39+G52+G54+G56</f>
        <v>1959275.6</v>
      </c>
      <c r="H21" s="69">
        <f t="shared" si="1"/>
        <v>72185.45999999999</v>
      </c>
      <c r="I21" s="69">
        <f t="shared" si="1"/>
        <v>0</v>
      </c>
      <c r="J21" s="69">
        <f t="shared" si="1"/>
        <v>0</v>
      </c>
      <c r="K21" s="69">
        <f t="shared" si="1"/>
        <v>0</v>
      </c>
      <c r="L21" s="69">
        <f t="shared" si="1"/>
        <v>0</v>
      </c>
      <c r="M21" s="69">
        <f t="shared" si="1"/>
        <v>0</v>
      </c>
      <c r="N21" s="69">
        <f t="shared" si="1"/>
        <v>688544.3</v>
      </c>
      <c r="O21" s="69">
        <f t="shared" si="1"/>
        <v>6431</v>
      </c>
      <c r="P21" s="69">
        <f t="shared" si="1"/>
        <v>56896</v>
      </c>
      <c r="Q21" s="69">
        <f t="shared" si="1"/>
        <v>0</v>
      </c>
      <c r="R21" s="69">
        <f t="shared" si="1"/>
        <v>0</v>
      </c>
      <c r="S21" s="69">
        <f t="shared" si="1"/>
        <v>0</v>
      </c>
      <c r="T21" s="69">
        <f t="shared" si="1"/>
        <v>74616.96820833001</v>
      </c>
      <c r="U21" s="69">
        <f t="shared" si="1"/>
        <v>53299.56</v>
      </c>
      <c r="V21" s="69">
        <f t="shared" si="1"/>
        <v>31749.808208330003</v>
      </c>
      <c r="W21" s="69">
        <f t="shared" si="1"/>
        <v>22323.80820833</v>
      </c>
      <c r="X21" s="69">
        <f t="shared" si="1"/>
        <v>17596.80820833</v>
      </c>
      <c r="Y21" s="68"/>
      <c r="Z21" s="33"/>
      <c r="AA21" s="32"/>
      <c r="AB21" s="32"/>
      <c r="AC21" s="33"/>
      <c r="AD21" s="33"/>
      <c r="AE21" s="33"/>
      <c r="AF21" s="33"/>
      <c r="AG21" s="34"/>
    </row>
    <row r="22" spans="1:33" s="35" customFormat="1" ht="20.25" customHeight="1">
      <c r="A22" s="45"/>
      <c r="B22" s="34" t="s">
        <v>744</v>
      </c>
      <c r="C22" s="67"/>
      <c r="D22" s="67"/>
      <c r="E22" s="67"/>
      <c r="F22" s="67"/>
      <c r="G22" s="69">
        <f>G39+G61-G62</f>
        <v>197801.251</v>
      </c>
      <c r="H22" s="69">
        <f>H39+H61-H62</f>
        <v>38386.2</v>
      </c>
      <c r="I22" s="69"/>
      <c r="J22" s="69"/>
      <c r="K22" s="69"/>
      <c r="L22" s="69"/>
      <c r="M22" s="69"/>
      <c r="N22" s="69"/>
      <c r="O22" s="69"/>
      <c r="P22" s="69"/>
      <c r="Q22" s="69"/>
      <c r="R22" s="69"/>
      <c r="S22" s="69"/>
      <c r="T22" s="69">
        <f>T39+T61-T62</f>
        <v>26050.9</v>
      </c>
      <c r="U22" s="69">
        <f>U39+U61-U62</f>
        <v>26050.9</v>
      </c>
      <c r="V22" s="69">
        <f>V39+V61-V62</f>
        <v>2876.3999999999996</v>
      </c>
      <c r="W22" s="69">
        <f>W39+W61-W62</f>
        <v>8206</v>
      </c>
      <c r="X22" s="69">
        <f>X39+X61-X62</f>
        <v>0</v>
      </c>
      <c r="Y22" s="69">
        <f>Y39+Y61</f>
        <v>0</v>
      </c>
      <c r="Z22" s="33"/>
      <c r="AA22" s="32"/>
      <c r="AB22" s="32"/>
      <c r="AC22" s="33"/>
      <c r="AD22" s="33"/>
      <c r="AE22" s="33"/>
      <c r="AF22" s="33"/>
      <c r="AG22" s="34"/>
    </row>
    <row r="23" spans="1:33" s="35" customFormat="1" ht="20.25" customHeight="1">
      <c r="A23" s="179" t="s">
        <v>41</v>
      </c>
      <c r="B23" s="180" t="s">
        <v>644</v>
      </c>
      <c r="C23" s="67"/>
      <c r="D23" s="67"/>
      <c r="E23" s="67"/>
      <c r="F23" s="67"/>
      <c r="G23" s="69">
        <f>SUM(G24:G29)</f>
        <v>194120</v>
      </c>
      <c r="H23" s="69">
        <f aca="true" t="shared" si="2" ref="H23:X23">SUM(H24:H29)</f>
        <v>7070.200000000001</v>
      </c>
      <c r="I23" s="69">
        <f t="shared" si="2"/>
        <v>0</v>
      </c>
      <c r="J23" s="69">
        <f t="shared" si="2"/>
        <v>0</v>
      </c>
      <c r="K23" s="69">
        <f t="shared" si="2"/>
        <v>0</v>
      </c>
      <c r="L23" s="69">
        <f t="shared" si="2"/>
        <v>0</v>
      </c>
      <c r="M23" s="69">
        <f t="shared" si="2"/>
        <v>0</v>
      </c>
      <c r="N23" s="69">
        <f t="shared" si="2"/>
        <v>168626</v>
      </c>
      <c r="O23" s="69">
        <f t="shared" si="2"/>
        <v>878</v>
      </c>
      <c r="P23" s="69">
        <f t="shared" si="2"/>
        <v>1600</v>
      </c>
      <c r="Q23" s="69">
        <f t="shared" si="2"/>
        <v>0</v>
      </c>
      <c r="R23" s="69">
        <f t="shared" si="2"/>
        <v>0</v>
      </c>
      <c r="S23" s="69">
        <f t="shared" si="2"/>
        <v>0</v>
      </c>
      <c r="T23" s="69">
        <f t="shared" si="2"/>
        <v>17215.2</v>
      </c>
      <c r="U23" s="69">
        <f t="shared" si="2"/>
        <v>6385.6</v>
      </c>
      <c r="V23" s="69">
        <f t="shared" si="2"/>
        <v>6385.6</v>
      </c>
      <c r="W23" s="69">
        <f t="shared" si="2"/>
        <v>4157</v>
      </c>
      <c r="X23" s="69">
        <f t="shared" si="2"/>
        <v>4157</v>
      </c>
      <c r="Y23" s="68"/>
      <c r="Z23" s="33"/>
      <c r="AA23" s="32"/>
      <c r="AB23" s="32"/>
      <c r="AC23" s="33"/>
      <c r="AD23" s="33"/>
      <c r="AE23" s="33"/>
      <c r="AF23" s="33"/>
      <c r="AG23" s="34"/>
    </row>
    <row r="24" spans="1:33" s="31" customFormat="1" ht="51">
      <c r="A24" s="12"/>
      <c r="B24" s="181" t="s">
        <v>361</v>
      </c>
      <c r="C24" s="25"/>
      <c r="D24" s="25"/>
      <c r="E24" s="25"/>
      <c r="F24" s="356" t="s">
        <v>362</v>
      </c>
      <c r="G24" s="71">
        <v>42250</v>
      </c>
      <c r="H24" s="71">
        <v>1500</v>
      </c>
      <c r="I24" s="71"/>
      <c r="J24" s="71"/>
      <c r="K24" s="71"/>
      <c r="L24" s="71"/>
      <c r="M24" s="71"/>
      <c r="N24" s="71">
        <v>35736</v>
      </c>
      <c r="O24" s="71">
        <v>878</v>
      </c>
      <c r="P24" s="72">
        <v>800</v>
      </c>
      <c r="Q24" s="71"/>
      <c r="R24" s="71"/>
      <c r="S24" s="71"/>
      <c r="T24" s="343">
        <f>U24</f>
        <v>708</v>
      </c>
      <c r="U24" s="343">
        <f>V24</f>
        <v>708</v>
      </c>
      <c r="V24" s="343">
        <v>708</v>
      </c>
      <c r="W24" s="343">
        <v>700</v>
      </c>
      <c r="X24" s="343">
        <f>W24</f>
        <v>700</v>
      </c>
      <c r="Y24" s="182"/>
      <c r="Z24" s="17" t="s">
        <v>59</v>
      </c>
      <c r="AA24" s="183"/>
      <c r="AB24" s="183"/>
      <c r="AC24" s="17"/>
      <c r="AD24" s="17"/>
      <c r="AE24" s="17"/>
      <c r="AF24" s="17"/>
      <c r="AG24" s="23"/>
    </row>
    <row r="25" spans="1:33" s="31" customFormat="1" ht="38.25">
      <c r="A25" s="12"/>
      <c r="B25" s="184" t="s">
        <v>739</v>
      </c>
      <c r="C25" s="185" t="s">
        <v>6</v>
      </c>
      <c r="D25" s="25"/>
      <c r="E25" s="186" t="s">
        <v>243</v>
      </c>
      <c r="F25" s="186" t="s">
        <v>645</v>
      </c>
      <c r="G25" s="71">
        <v>46300</v>
      </c>
      <c r="H25" s="71">
        <v>1630</v>
      </c>
      <c r="I25" s="71"/>
      <c r="J25" s="71"/>
      <c r="K25" s="71"/>
      <c r="L25" s="71"/>
      <c r="M25" s="71"/>
      <c r="N25" s="71">
        <v>40868</v>
      </c>
      <c r="O25" s="71"/>
      <c r="P25" s="72">
        <v>600</v>
      </c>
      <c r="Q25" s="71"/>
      <c r="R25" s="71"/>
      <c r="S25" s="71"/>
      <c r="T25" s="73">
        <f>+U25+V25</f>
        <v>3260</v>
      </c>
      <c r="U25" s="73">
        <f>H25-O25</f>
        <v>1630</v>
      </c>
      <c r="V25" s="73">
        <f>U25</f>
        <v>1630</v>
      </c>
      <c r="W25" s="73">
        <v>1000</v>
      </c>
      <c r="X25" s="182">
        <f>W25</f>
        <v>1000</v>
      </c>
      <c r="Y25" s="182"/>
      <c r="Z25" s="17"/>
      <c r="AA25" s="183"/>
      <c r="AB25" s="183"/>
      <c r="AC25" s="17"/>
      <c r="AD25" s="17"/>
      <c r="AE25" s="17"/>
      <c r="AF25" s="17"/>
      <c r="AG25" s="23"/>
    </row>
    <row r="26" spans="1:33" s="31" customFormat="1" ht="43.5" customHeight="1">
      <c r="A26" s="12"/>
      <c r="B26" s="184" t="s">
        <v>740</v>
      </c>
      <c r="C26" s="185" t="s">
        <v>6</v>
      </c>
      <c r="D26" s="25"/>
      <c r="E26" s="186" t="s">
        <v>243</v>
      </c>
      <c r="F26" s="186" t="s">
        <v>983</v>
      </c>
      <c r="G26" s="71">
        <v>51155</v>
      </c>
      <c r="H26" s="71">
        <f>23255*0.1</f>
        <v>2325.5</v>
      </c>
      <c r="I26" s="71"/>
      <c r="J26" s="71"/>
      <c r="K26" s="71"/>
      <c r="L26" s="71"/>
      <c r="M26" s="71"/>
      <c r="N26" s="71">
        <v>48830</v>
      </c>
      <c r="O26" s="71"/>
      <c r="P26" s="72"/>
      <c r="Q26" s="71"/>
      <c r="R26" s="71"/>
      <c r="S26" s="71"/>
      <c r="T26" s="73">
        <v>2500</v>
      </c>
      <c r="U26" s="73">
        <f>T26</f>
        <v>2500</v>
      </c>
      <c r="V26" s="73">
        <f>U26</f>
        <v>2500</v>
      </c>
      <c r="W26" s="73">
        <v>1000</v>
      </c>
      <c r="X26" s="182">
        <f>W26</f>
        <v>1000</v>
      </c>
      <c r="Y26" s="182"/>
      <c r="Z26" s="17"/>
      <c r="AA26" s="183"/>
      <c r="AB26" s="183"/>
      <c r="AC26" s="17"/>
      <c r="AD26" s="17"/>
      <c r="AE26" s="17"/>
      <c r="AF26" s="17"/>
      <c r="AG26" s="23"/>
    </row>
    <row r="27" spans="1:33" s="31" customFormat="1" ht="36" customHeight="1">
      <c r="A27" s="12"/>
      <c r="B27" s="184" t="s">
        <v>741</v>
      </c>
      <c r="C27" s="185" t="s">
        <v>6</v>
      </c>
      <c r="D27" s="25"/>
      <c r="E27" s="186" t="s">
        <v>243</v>
      </c>
      <c r="F27" s="186" t="s">
        <v>646</v>
      </c>
      <c r="G27" s="71">
        <v>22052</v>
      </c>
      <c r="H27" s="71">
        <f>5906*0.1</f>
        <v>590.6</v>
      </c>
      <c r="I27" s="71"/>
      <c r="J27" s="71"/>
      <c r="K27" s="71"/>
      <c r="L27" s="71"/>
      <c r="M27" s="71"/>
      <c r="N27" s="71">
        <v>20666</v>
      </c>
      <c r="O27" s="71"/>
      <c r="P27" s="72">
        <v>200</v>
      </c>
      <c r="Q27" s="71"/>
      <c r="R27" s="71"/>
      <c r="S27" s="71"/>
      <c r="T27" s="73">
        <f>+U27+V27</f>
        <v>1181.2</v>
      </c>
      <c r="U27" s="73">
        <f>H27</f>
        <v>590.6</v>
      </c>
      <c r="V27" s="73">
        <f>U27</f>
        <v>590.6</v>
      </c>
      <c r="W27" s="73">
        <v>500</v>
      </c>
      <c r="X27" s="182">
        <f>W27</f>
        <v>500</v>
      </c>
      <c r="Y27" s="182"/>
      <c r="Z27" s="17"/>
      <c r="AA27" s="183"/>
      <c r="AB27" s="183"/>
      <c r="AC27" s="17"/>
      <c r="AD27" s="17"/>
      <c r="AE27" s="17"/>
      <c r="AF27" s="17"/>
      <c r="AG27" s="23"/>
    </row>
    <row r="28" spans="1:33" s="31" customFormat="1" ht="25.5">
      <c r="A28" s="12"/>
      <c r="B28" s="184" t="s">
        <v>742</v>
      </c>
      <c r="C28" s="185" t="s">
        <v>6</v>
      </c>
      <c r="D28" s="25"/>
      <c r="E28" s="25"/>
      <c r="F28" s="186" t="s">
        <v>647</v>
      </c>
      <c r="G28" s="71">
        <v>1797</v>
      </c>
      <c r="H28" s="71">
        <f>671*0.1</f>
        <v>67.10000000000001</v>
      </c>
      <c r="I28" s="71"/>
      <c r="J28" s="71"/>
      <c r="K28" s="71"/>
      <c r="L28" s="71"/>
      <c r="M28" s="71"/>
      <c r="N28" s="71">
        <v>1526</v>
      </c>
      <c r="O28" s="71"/>
      <c r="P28" s="72"/>
      <c r="Q28" s="71"/>
      <c r="R28" s="71"/>
      <c r="S28" s="71"/>
      <c r="T28" s="73"/>
      <c r="U28" s="73"/>
      <c r="V28" s="73"/>
      <c r="W28" s="73"/>
      <c r="X28" s="182"/>
      <c r="Y28" s="182"/>
      <c r="Z28" s="17"/>
      <c r="AA28" s="183"/>
      <c r="AB28" s="183"/>
      <c r="AC28" s="17"/>
      <c r="AD28" s="17"/>
      <c r="AE28" s="17"/>
      <c r="AF28" s="17"/>
      <c r="AG28" s="23"/>
    </row>
    <row r="29" spans="1:33" s="31" customFormat="1" ht="25.5">
      <c r="A29" s="12">
        <v>7</v>
      </c>
      <c r="B29" s="184" t="s">
        <v>255</v>
      </c>
      <c r="C29" s="185" t="s">
        <v>6</v>
      </c>
      <c r="D29" s="25"/>
      <c r="E29" s="25" t="s">
        <v>94</v>
      </c>
      <c r="F29" s="186" t="s">
        <v>256</v>
      </c>
      <c r="G29" s="71">
        <v>30566</v>
      </c>
      <c r="H29" s="71">
        <v>957</v>
      </c>
      <c r="I29" s="71"/>
      <c r="J29" s="71"/>
      <c r="K29" s="71"/>
      <c r="L29" s="71"/>
      <c r="M29" s="71"/>
      <c r="N29" s="71">
        <v>21000</v>
      </c>
      <c r="O29" s="71"/>
      <c r="P29" s="72"/>
      <c r="Q29" s="71"/>
      <c r="R29" s="71"/>
      <c r="S29" s="71"/>
      <c r="T29" s="73">
        <v>9566</v>
      </c>
      <c r="U29" s="73">
        <f>H29</f>
        <v>957</v>
      </c>
      <c r="V29" s="73">
        <f>U29</f>
        <v>957</v>
      </c>
      <c r="W29" s="73">
        <f>V29</f>
        <v>957</v>
      </c>
      <c r="X29" s="182">
        <f>W29</f>
        <v>957</v>
      </c>
      <c r="Y29" s="182"/>
      <c r="Z29" s="17" t="s">
        <v>976</v>
      </c>
      <c r="AA29" s="183"/>
      <c r="AB29" s="183"/>
      <c r="AC29" s="17"/>
      <c r="AD29" s="17"/>
      <c r="AE29" s="17"/>
      <c r="AF29" s="17"/>
      <c r="AG29" s="23"/>
    </row>
    <row r="30" spans="1:239" s="192" customFormat="1" ht="27.75" customHeight="1">
      <c r="A30" s="187" t="s">
        <v>43</v>
      </c>
      <c r="B30" s="188" t="s">
        <v>648</v>
      </c>
      <c r="C30" s="189"/>
      <c r="D30" s="168"/>
      <c r="E30" s="174"/>
      <c r="F30" s="168"/>
      <c r="G30" s="69">
        <f>G31+G34</f>
        <v>1396598.6</v>
      </c>
      <c r="H30" s="69">
        <f aca="true" t="shared" si="3" ref="H30:X30">H31+H34</f>
        <v>30325.559999999998</v>
      </c>
      <c r="I30" s="69">
        <f t="shared" si="3"/>
        <v>0</v>
      </c>
      <c r="J30" s="69">
        <f t="shared" si="3"/>
        <v>0</v>
      </c>
      <c r="K30" s="69">
        <f t="shared" si="3"/>
        <v>0</v>
      </c>
      <c r="L30" s="69">
        <f t="shared" si="3"/>
        <v>0</v>
      </c>
      <c r="M30" s="69">
        <f t="shared" si="3"/>
        <v>0</v>
      </c>
      <c r="N30" s="69">
        <f t="shared" si="3"/>
        <v>400022</v>
      </c>
      <c r="O30" s="69">
        <f t="shared" si="3"/>
        <v>5553</v>
      </c>
      <c r="P30" s="69">
        <f t="shared" si="3"/>
        <v>32558</v>
      </c>
      <c r="Q30" s="69">
        <f t="shared" si="3"/>
        <v>0</v>
      </c>
      <c r="R30" s="69">
        <f t="shared" si="3"/>
        <v>0</v>
      </c>
      <c r="S30" s="69">
        <f t="shared" si="3"/>
        <v>0</v>
      </c>
      <c r="T30" s="69">
        <f t="shared" si="3"/>
        <v>31684.36820833</v>
      </c>
      <c r="U30" s="69">
        <f t="shared" si="3"/>
        <v>21196.559999999998</v>
      </c>
      <c r="V30" s="69">
        <f t="shared" si="3"/>
        <v>10487.80820833</v>
      </c>
      <c r="W30" s="69">
        <f>W31+W34</f>
        <v>8956.80820833</v>
      </c>
      <c r="X30" s="190">
        <f t="shared" si="3"/>
        <v>8439.80820833</v>
      </c>
      <c r="Y30" s="190"/>
      <c r="Z30" s="174"/>
      <c r="AA30" s="191"/>
      <c r="AB30" s="177"/>
      <c r="AC30" s="174"/>
      <c r="AD30" s="176"/>
      <c r="AE30" s="176"/>
      <c r="AF30" s="176"/>
      <c r="AG30" s="178"/>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row>
    <row r="31" spans="1:239" s="205" customFormat="1" ht="27">
      <c r="A31" s="193"/>
      <c r="B31" s="194" t="s">
        <v>649</v>
      </c>
      <c r="C31" s="195"/>
      <c r="D31" s="196"/>
      <c r="E31" s="197"/>
      <c r="F31" s="196"/>
      <c r="G31" s="198">
        <f aca="true" t="shared" si="4" ref="G31:V31">G32+G33</f>
        <v>529605</v>
      </c>
      <c r="H31" s="198">
        <f t="shared" si="4"/>
        <v>16651</v>
      </c>
      <c r="I31" s="198">
        <f t="shared" si="4"/>
        <v>0</v>
      </c>
      <c r="J31" s="198">
        <f t="shared" si="4"/>
        <v>0</v>
      </c>
      <c r="K31" s="198">
        <f t="shared" si="4"/>
        <v>0</v>
      </c>
      <c r="L31" s="198">
        <f t="shared" si="4"/>
        <v>0</v>
      </c>
      <c r="M31" s="198">
        <f t="shared" si="4"/>
        <v>0</v>
      </c>
      <c r="N31" s="198">
        <f t="shared" si="4"/>
        <v>400022</v>
      </c>
      <c r="O31" s="198">
        <f t="shared" si="4"/>
        <v>5553</v>
      </c>
      <c r="P31" s="198">
        <f t="shared" si="4"/>
        <v>25032</v>
      </c>
      <c r="Q31" s="198">
        <f t="shared" si="4"/>
        <v>0</v>
      </c>
      <c r="R31" s="198">
        <f t="shared" si="4"/>
        <v>0</v>
      </c>
      <c r="S31" s="198">
        <f t="shared" si="4"/>
        <v>0</v>
      </c>
      <c r="T31" s="198">
        <f t="shared" si="4"/>
        <v>20096</v>
      </c>
      <c r="U31" s="198">
        <f t="shared" si="4"/>
        <v>10048</v>
      </c>
      <c r="V31" s="198">
        <f t="shared" si="4"/>
        <v>10048</v>
      </c>
      <c r="W31" s="198">
        <f>W32+W33</f>
        <v>8000</v>
      </c>
      <c r="X31" s="199">
        <f>X32+X33</f>
        <v>8000</v>
      </c>
      <c r="Y31" s="199"/>
      <c r="Z31" s="197"/>
      <c r="AA31" s="200"/>
      <c r="AB31" s="201"/>
      <c r="AC31" s="197"/>
      <c r="AD31" s="202"/>
      <c r="AE31" s="202"/>
      <c r="AF31" s="202"/>
      <c r="AG31" s="203"/>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c r="ID31" s="204"/>
      <c r="IE31" s="204"/>
    </row>
    <row r="32" spans="1:239" ht="25.5">
      <c r="A32" s="12">
        <v>1</v>
      </c>
      <c r="B32" s="206" t="s">
        <v>650</v>
      </c>
      <c r="C32" s="207" t="s">
        <v>651</v>
      </c>
      <c r="D32" s="25"/>
      <c r="E32" s="14"/>
      <c r="F32" s="207" t="s">
        <v>652</v>
      </c>
      <c r="G32" s="71">
        <f>495155+10048</f>
        <v>505203</v>
      </c>
      <c r="H32" s="71">
        <f>45030*0.1+10048</f>
        <v>14551</v>
      </c>
      <c r="I32" s="71"/>
      <c r="J32" s="71"/>
      <c r="K32" s="71"/>
      <c r="L32" s="71"/>
      <c r="M32" s="71"/>
      <c r="N32" s="71">
        <v>393893</v>
      </c>
      <c r="O32" s="71">
        <v>4503</v>
      </c>
      <c r="P32" s="71">
        <v>12982</v>
      </c>
      <c r="Q32" s="71"/>
      <c r="R32" s="71"/>
      <c r="S32" s="71"/>
      <c r="T32" s="71">
        <f>U32+V32</f>
        <v>20096</v>
      </c>
      <c r="U32" s="71">
        <f>H32-O32</f>
        <v>10048</v>
      </c>
      <c r="V32" s="71">
        <f>U32</f>
        <v>10048</v>
      </c>
      <c r="W32" s="71">
        <v>8000</v>
      </c>
      <c r="X32" s="260">
        <f>W32</f>
        <v>8000</v>
      </c>
      <c r="Y32" s="260"/>
      <c r="Z32" s="261"/>
      <c r="AA32" s="172"/>
      <c r="AB32" s="177"/>
      <c r="AC32" s="12"/>
      <c r="AD32" s="17"/>
      <c r="AE32" s="17"/>
      <c r="AF32" s="17"/>
      <c r="AG32" s="23"/>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row>
    <row r="33" spans="1:239" s="192" customFormat="1" ht="38.25">
      <c r="A33" s="208">
        <v>2</v>
      </c>
      <c r="B33" s="209" t="s">
        <v>653</v>
      </c>
      <c r="C33" s="186" t="s">
        <v>654</v>
      </c>
      <c r="D33" s="168"/>
      <c r="E33" s="210"/>
      <c r="F33" s="186" t="s">
        <v>655</v>
      </c>
      <c r="G33" s="71">
        <v>24402</v>
      </c>
      <c r="H33" s="71">
        <v>2100</v>
      </c>
      <c r="I33" s="71"/>
      <c r="J33" s="71"/>
      <c r="K33" s="71"/>
      <c r="L33" s="71"/>
      <c r="M33" s="71"/>
      <c r="N33" s="71">
        <v>6129</v>
      </c>
      <c r="O33" s="71">
        <v>1050</v>
      </c>
      <c r="P33" s="71">
        <f>11000+1050</f>
        <v>12050</v>
      </c>
      <c r="Q33" s="71"/>
      <c r="R33" s="71"/>
      <c r="S33" s="71"/>
      <c r="T33" s="71">
        <f>U33+V33</f>
        <v>0</v>
      </c>
      <c r="U33" s="69">
        <f>H33-O33-700-350</f>
        <v>0</v>
      </c>
      <c r="V33" s="69"/>
      <c r="W33" s="69">
        <f>X33</f>
        <v>0</v>
      </c>
      <c r="X33" s="190">
        <f>U33</f>
        <v>0</v>
      </c>
      <c r="Y33" s="190"/>
      <c r="Z33" s="12" t="s">
        <v>656</v>
      </c>
      <c r="AA33" s="191"/>
      <c r="AB33" s="177"/>
      <c r="AC33" s="174"/>
      <c r="AD33" s="17"/>
      <c r="AE33" s="17"/>
      <c r="AF33" s="17"/>
      <c r="AG33" s="23"/>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row>
    <row r="34" spans="1:239" s="205" customFormat="1" ht="27">
      <c r="A34" s="211"/>
      <c r="B34" s="194" t="s">
        <v>657</v>
      </c>
      <c r="C34" s="197"/>
      <c r="D34" s="196"/>
      <c r="E34" s="212"/>
      <c r="F34" s="196"/>
      <c r="G34" s="198">
        <f>G35</f>
        <v>866993.6</v>
      </c>
      <c r="H34" s="198">
        <f aca="true" t="shared" si="5" ref="H34:X34">H35</f>
        <v>13674.56</v>
      </c>
      <c r="I34" s="198">
        <f t="shared" si="5"/>
        <v>0</v>
      </c>
      <c r="J34" s="198">
        <f t="shared" si="5"/>
        <v>0</v>
      </c>
      <c r="K34" s="198">
        <f t="shared" si="5"/>
        <v>0</v>
      </c>
      <c r="L34" s="198">
        <f t="shared" si="5"/>
        <v>0</v>
      </c>
      <c r="M34" s="198">
        <f t="shared" si="5"/>
        <v>0</v>
      </c>
      <c r="N34" s="198">
        <f t="shared" si="5"/>
        <v>0</v>
      </c>
      <c r="O34" s="198">
        <f t="shared" si="5"/>
        <v>0</v>
      </c>
      <c r="P34" s="198">
        <f t="shared" si="5"/>
        <v>7526</v>
      </c>
      <c r="Q34" s="198">
        <f t="shared" si="5"/>
        <v>0</v>
      </c>
      <c r="R34" s="198">
        <f t="shared" si="5"/>
        <v>0</v>
      </c>
      <c r="S34" s="198">
        <f t="shared" si="5"/>
        <v>0</v>
      </c>
      <c r="T34" s="198">
        <f t="shared" si="5"/>
        <v>11588.36820833</v>
      </c>
      <c r="U34" s="198">
        <f t="shared" si="5"/>
        <v>11148.56</v>
      </c>
      <c r="V34" s="198">
        <f t="shared" si="5"/>
        <v>439.80820833000007</v>
      </c>
      <c r="W34" s="198">
        <f t="shared" si="5"/>
        <v>956.8082083300001</v>
      </c>
      <c r="X34" s="199">
        <f t="shared" si="5"/>
        <v>439.80820833000007</v>
      </c>
      <c r="Y34" s="199"/>
      <c r="Z34" s="197"/>
      <c r="AA34" s="200"/>
      <c r="AB34" s="201"/>
      <c r="AC34" s="197"/>
      <c r="AD34" s="202"/>
      <c r="AE34" s="202"/>
      <c r="AF34" s="202"/>
      <c r="AG34" s="203"/>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c r="GU34" s="204"/>
      <c r="GV34" s="204"/>
      <c r="GW34" s="204"/>
      <c r="GX34" s="204"/>
      <c r="GY34" s="204"/>
      <c r="GZ34" s="204"/>
      <c r="HA34" s="204"/>
      <c r="HB34" s="204"/>
      <c r="HC34" s="204"/>
      <c r="HD34" s="204"/>
      <c r="HE34" s="204"/>
      <c r="HF34" s="204"/>
      <c r="HG34" s="204"/>
      <c r="HH34" s="204"/>
      <c r="HI34" s="204"/>
      <c r="HJ34" s="204"/>
      <c r="HK34" s="204"/>
      <c r="HL34" s="204"/>
      <c r="HM34" s="204"/>
      <c r="HN34" s="204"/>
      <c r="HO34" s="204"/>
      <c r="HP34" s="204"/>
      <c r="HQ34" s="204"/>
      <c r="HR34" s="204"/>
      <c r="HS34" s="204"/>
      <c r="HT34" s="204"/>
      <c r="HU34" s="204"/>
      <c r="HV34" s="204"/>
      <c r="HW34" s="204"/>
      <c r="HX34" s="204"/>
      <c r="HY34" s="204"/>
      <c r="HZ34" s="204"/>
      <c r="IA34" s="204"/>
      <c r="IB34" s="204"/>
      <c r="IC34" s="204"/>
      <c r="ID34" s="204"/>
      <c r="IE34" s="204"/>
    </row>
    <row r="35" spans="1:239" ht="25.5">
      <c r="A35" s="213">
        <v>1</v>
      </c>
      <c r="B35" s="214" t="s">
        <v>658</v>
      </c>
      <c r="C35" s="12"/>
      <c r="D35" s="25"/>
      <c r="E35" s="186"/>
      <c r="F35" s="25"/>
      <c r="G35" s="71">
        <f>SUM(G36:G38)</f>
        <v>866993.6</v>
      </c>
      <c r="H35" s="71">
        <f aca="true" t="shared" si="6" ref="H35:X35">SUM(H36:H38)</f>
        <v>13674.56</v>
      </c>
      <c r="I35" s="71">
        <f t="shared" si="6"/>
        <v>0</v>
      </c>
      <c r="J35" s="71">
        <f t="shared" si="6"/>
        <v>0</v>
      </c>
      <c r="K35" s="71">
        <f t="shared" si="6"/>
        <v>0</v>
      </c>
      <c r="L35" s="71">
        <f t="shared" si="6"/>
        <v>0</v>
      </c>
      <c r="M35" s="71">
        <f t="shared" si="6"/>
        <v>0</v>
      </c>
      <c r="N35" s="71">
        <f t="shared" si="6"/>
        <v>0</v>
      </c>
      <c r="O35" s="71">
        <f t="shared" si="6"/>
        <v>0</v>
      </c>
      <c r="P35" s="71">
        <f t="shared" si="6"/>
        <v>7526</v>
      </c>
      <c r="Q35" s="71">
        <f t="shared" si="6"/>
        <v>0</v>
      </c>
      <c r="R35" s="71">
        <f t="shared" si="6"/>
        <v>0</v>
      </c>
      <c r="S35" s="71">
        <f t="shared" si="6"/>
        <v>0</v>
      </c>
      <c r="T35" s="71">
        <f t="shared" si="6"/>
        <v>11588.36820833</v>
      </c>
      <c r="U35" s="71">
        <f t="shared" si="6"/>
        <v>11148.56</v>
      </c>
      <c r="V35" s="71">
        <f t="shared" si="6"/>
        <v>439.80820833000007</v>
      </c>
      <c r="W35" s="71">
        <f t="shared" si="6"/>
        <v>956.8082083300001</v>
      </c>
      <c r="X35" s="215">
        <f t="shared" si="6"/>
        <v>439.80820833000007</v>
      </c>
      <c r="Y35" s="215"/>
      <c r="Z35" s="12"/>
      <c r="AA35" s="172"/>
      <c r="AB35" s="177"/>
      <c r="AC35" s="12"/>
      <c r="AD35" s="17"/>
      <c r="AE35" s="17"/>
      <c r="AF35" s="17"/>
      <c r="AG35" s="23"/>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row>
    <row r="36" spans="1:239" ht="38.25">
      <c r="A36" s="216" t="s">
        <v>659</v>
      </c>
      <c r="B36" s="219" t="s">
        <v>660</v>
      </c>
      <c r="C36" s="12" t="s">
        <v>654</v>
      </c>
      <c r="D36" s="25"/>
      <c r="E36" s="249" t="s">
        <v>304</v>
      </c>
      <c r="F36" s="186" t="s">
        <v>661</v>
      </c>
      <c r="G36" s="71">
        <v>172898.022</v>
      </c>
      <c r="H36" s="71">
        <v>2965.80820833</v>
      </c>
      <c r="I36" s="71"/>
      <c r="J36" s="71"/>
      <c r="K36" s="71"/>
      <c r="L36" s="71"/>
      <c r="M36" s="71"/>
      <c r="N36" s="71"/>
      <c r="O36" s="71"/>
      <c r="P36" s="71">
        <f>5000+2526</f>
        <v>7526</v>
      </c>
      <c r="Q36" s="71"/>
      <c r="R36" s="71"/>
      <c r="S36" s="71"/>
      <c r="T36" s="71">
        <f>U36+V36</f>
        <v>879.6164166600001</v>
      </c>
      <c r="U36" s="71">
        <f>+H36-2526</f>
        <v>439.80820833000007</v>
      </c>
      <c r="V36" s="71">
        <f>U36</f>
        <v>439.80820833000007</v>
      </c>
      <c r="W36" s="71">
        <f>X36</f>
        <v>439.80820833000007</v>
      </c>
      <c r="X36" s="215">
        <f>U36</f>
        <v>439.80820833000007</v>
      </c>
      <c r="Y36" s="215"/>
      <c r="Z36" s="12"/>
      <c r="AA36" s="172"/>
      <c r="AB36" s="177"/>
      <c r="AC36" s="12"/>
      <c r="AD36" s="17"/>
      <c r="AE36" s="17"/>
      <c r="AF36" s="17"/>
      <c r="AG36" s="23"/>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row>
    <row r="37" spans="1:239" ht="38.25">
      <c r="A37" s="217" t="s">
        <v>662</v>
      </c>
      <c r="B37" s="533" t="s">
        <v>663</v>
      </c>
      <c r="C37" s="12" t="s">
        <v>654</v>
      </c>
      <c r="D37" s="25"/>
      <c r="E37" s="249" t="s">
        <v>664</v>
      </c>
      <c r="F37" s="186"/>
      <c r="G37" s="71">
        <v>502881.978</v>
      </c>
      <c r="H37" s="71">
        <v>8584.19179167</v>
      </c>
      <c r="I37" s="71"/>
      <c r="J37" s="71"/>
      <c r="K37" s="71"/>
      <c r="L37" s="71"/>
      <c r="M37" s="71"/>
      <c r="N37" s="71"/>
      <c r="O37" s="71"/>
      <c r="P37" s="71"/>
      <c r="Q37" s="71"/>
      <c r="R37" s="71"/>
      <c r="S37" s="71"/>
      <c r="T37" s="71">
        <f>U37+V37</f>
        <v>8584.19179167</v>
      </c>
      <c r="U37" s="71">
        <f>H37</f>
        <v>8584.19179167</v>
      </c>
      <c r="V37" s="71"/>
      <c r="W37" s="71"/>
      <c r="X37" s="215"/>
      <c r="Y37" s="215"/>
      <c r="Z37" s="12"/>
      <c r="AA37" s="172"/>
      <c r="AB37" s="177"/>
      <c r="AC37" s="12"/>
      <c r="AD37" s="17"/>
      <c r="AE37" s="17"/>
      <c r="AF37" s="17"/>
      <c r="AG37" s="23"/>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row>
    <row r="38" spans="1:239" ht="25.5">
      <c r="A38" s="218">
        <v>2</v>
      </c>
      <c r="B38" s="219" t="s">
        <v>665</v>
      </c>
      <c r="C38" s="25"/>
      <c r="D38" s="25"/>
      <c r="E38" s="220" t="s">
        <v>666</v>
      </c>
      <c r="F38" s="186" t="s">
        <v>667</v>
      </c>
      <c r="G38" s="71">
        <v>191213.6</v>
      </c>
      <c r="H38" s="71">
        <f>21245.6*0.1</f>
        <v>2124.56</v>
      </c>
      <c r="I38" s="71"/>
      <c r="J38" s="71"/>
      <c r="K38" s="71"/>
      <c r="L38" s="71"/>
      <c r="M38" s="71"/>
      <c r="N38" s="71"/>
      <c r="O38" s="71"/>
      <c r="P38" s="71"/>
      <c r="Q38" s="71"/>
      <c r="R38" s="71"/>
      <c r="S38" s="71"/>
      <c r="T38" s="71">
        <f>U38+V38</f>
        <v>2124.56</v>
      </c>
      <c r="U38" s="71">
        <f>H38</f>
        <v>2124.56</v>
      </c>
      <c r="V38" s="71"/>
      <c r="W38" s="71">
        <v>517</v>
      </c>
      <c r="X38" s="215"/>
      <c r="Y38" s="215"/>
      <c r="Z38" s="12" t="s">
        <v>59</v>
      </c>
      <c r="AA38" s="172"/>
      <c r="AB38" s="177"/>
      <c r="AC38" s="12"/>
      <c r="AD38" s="17"/>
      <c r="AE38" s="17"/>
      <c r="AF38" s="17"/>
      <c r="AG38" s="23"/>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row>
    <row r="39" spans="1:239" s="192" customFormat="1" ht="38.25">
      <c r="A39" s="45" t="s">
        <v>44</v>
      </c>
      <c r="B39" s="221" t="s">
        <v>668</v>
      </c>
      <c r="C39" s="222"/>
      <c r="D39" s="168"/>
      <c r="E39" s="223"/>
      <c r="F39" s="224"/>
      <c r="G39" s="69">
        <f aca="true" t="shared" si="7" ref="G39:V39">SUM(G40:G51)</f>
        <v>36301</v>
      </c>
      <c r="H39" s="69">
        <f t="shared" si="7"/>
        <v>11948.7</v>
      </c>
      <c r="I39" s="69">
        <f t="shared" si="7"/>
        <v>0</v>
      </c>
      <c r="J39" s="69">
        <f t="shared" si="7"/>
        <v>0</v>
      </c>
      <c r="K39" s="69">
        <f t="shared" si="7"/>
        <v>0</v>
      </c>
      <c r="L39" s="69">
        <f t="shared" si="7"/>
        <v>0</v>
      </c>
      <c r="M39" s="69">
        <f t="shared" si="7"/>
        <v>0</v>
      </c>
      <c r="N39" s="69">
        <f t="shared" si="7"/>
        <v>21503.3</v>
      </c>
      <c r="O39" s="69">
        <f t="shared" si="7"/>
        <v>0</v>
      </c>
      <c r="P39" s="69">
        <f t="shared" si="7"/>
        <v>0</v>
      </c>
      <c r="Q39" s="69">
        <f t="shared" si="7"/>
        <v>0</v>
      </c>
      <c r="R39" s="69">
        <f t="shared" si="7"/>
        <v>0</v>
      </c>
      <c r="S39" s="69">
        <f t="shared" si="7"/>
        <v>0</v>
      </c>
      <c r="T39" s="69">
        <f t="shared" si="7"/>
        <v>2876.3999999999996</v>
      </c>
      <c r="U39" s="69">
        <f t="shared" si="7"/>
        <v>2876.3999999999996</v>
      </c>
      <c r="V39" s="69">
        <f t="shared" si="7"/>
        <v>2876.3999999999996</v>
      </c>
      <c r="W39" s="69">
        <f>SUM(W40:W51)</f>
        <v>0</v>
      </c>
      <c r="X39" s="190">
        <f>SUM(X40:X51)</f>
        <v>0</v>
      </c>
      <c r="Y39" s="190"/>
      <c r="Z39" s="550" t="s">
        <v>978</v>
      </c>
      <c r="AA39" s="191"/>
      <c r="AB39" s="177"/>
      <c r="AC39" s="174"/>
      <c r="AD39" s="176"/>
      <c r="AE39" s="176"/>
      <c r="AF39" s="176"/>
      <c r="AG39" s="178"/>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row>
    <row r="40" spans="1:239" s="192" customFormat="1" ht="51" hidden="1">
      <c r="A40" s="225" t="s">
        <v>87</v>
      </c>
      <c r="B40" s="226" t="s">
        <v>669</v>
      </c>
      <c r="C40" s="227" t="s">
        <v>55</v>
      </c>
      <c r="D40" s="168"/>
      <c r="E40" s="228" t="s">
        <v>243</v>
      </c>
      <c r="F40" s="229" t="s">
        <v>757</v>
      </c>
      <c r="G40" s="71">
        <v>4700</v>
      </c>
      <c r="H40" s="71">
        <v>1190.8000000000002</v>
      </c>
      <c r="I40" s="69"/>
      <c r="J40" s="69"/>
      <c r="K40" s="69"/>
      <c r="L40" s="69"/>
      <c r="M40" s="69"/>
      <c r="N40" s="71">
        <v>3509.2</v>
      </c>
      <c r="O40" s="71">
        <v>0</v>
      </c>
      <c r="P40" s="71">
        <v>0</v>
      </c>
      <c r="Q40" s="69"/>
      <c r="R40" s="69"/>
      <c r="S40" s="69"/>
      <c r="T40" s="391">
        <f>U40</f>
        <v>305.4</v>
      </c>
      <c r="U40" s="391">
        <v>305.4</v>
      </c>
      <c r="V40" s="71">
        <f aca="true" t="shared" si="8" ref="V40:V47">U40</f>
        <v>305.4</v>
      </c>
      <c r="W40" s="71"/>
      <c r="X40" s="215"/>
      <c r="Y40" s="190"/>
      <c r="Z40" s="12" t="s">
        <v>758</v>
      </c>
      <c r="AA40" s="230"/>
      <c r="AB40" s="231"/>
      <c r="AC40" s="174"/>
      <c r="AD40" s="176"/>
      <c r="AE40" s="176"/>
      <c r="AF40" s="176"/>
      <c r="AG40" s="178"/>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c r="GG40" s="169"/>
      <c r="GH40" s="169"/>
      <c r="GI40" s="169"/>
      <c r="GJ40" s="169"/>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169"/>
    </row>
    <row r="41" spans="1:239" s="192" customFormat="1" ht="51" hidden="1">
      <c r="A41" s="225" t="s">
        <v>90</v>
      </c>
      <c r="B41" s="226" t="s">
        <v>670</v>
      </c>
      <c r="C41" s="227" t="s">
        <v>356</v>
      </c>
      <c r="D41" s="168"/>
      <c r="E41" s="228" t="s">
        <v>243</v>
      </c>
      <c r="F41" s="229" t="s">
        <v>759</v>
      </c>
      <c r="G41" s="71">
        <v>5860</v>
      </c>
      <c r="H41" s="71">
        <v>1181</v>
      </c>
      <c r="I41" s="69"/>
      <c r="J41" s="69"/>
      <c r="K41" s="69"/>
      <c r="L41" s="69"/>
      <c r="M41" s="69"/>
      <c r="N41" s="71">
        <v>4679</v>
      </c>
      <c r="O41" s="71">
        <v>0</v>
      </c>
      <c r="P41" s="71">
        <v>0</v>
      </c>
      <c r="Q41" s="69"/>
      <c r="R41" s="69"/>
      <c r="S41" s="69"/>
      <c r="T41" s="391">
        <f aca="true" t="shared" si="9" ref="T41:T47">U41</f>
        <v>418.9</v>
      </c>
      <c r="U41" s="391">
        <v>418.9</v>
      </c>
      <c r="V41" s="71">
        <f t="shared" si="8"/>
        <v>418.9</v>
      </c>
      <c r="W41" s="71"/>
      <c r="X41" s="215"/>
      <c r="Y41" s="190"/>
      <c r="Z41" s="12" t="s">
        <v>758</v>
      </c>
      <c r="AA41" s="230"/>
      <c r="AB41" s="231"/>
      <c r="AC41" s="174"/>
      <c r="AD41" s="176"/>
      <c r="AE41" s="176"/>
      <c r="AF41" s="176"/>
      <c r="AG41" s="178"/>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row>
    <row r="42" spans="1:239" s="192" customFormat="1" ht="38.25" customHeight="1" hidden="1">
      <c r="A42" s="225" t="s">
        <v>229</v>
      </c>
      <c r="B42" s="226" t="s">
        <v>760</v>
      </c>
      <c r="C42" s="227" t="s">
        <v>761</v>
      </c>
      <c r="D42" s="168"/>
      <c r="E42" s="228" t="s">
        <v>79</v>
      </c>
      <c r="F42" s="229" t="s">
        <v>762</v>
      </c>
      <c r="G42" s="71">
        <v>5300</v>
      </c>
      <c r="H42" s="71">
        <v>1328</v>
      </c>
      <c r="I42" s="69"/>
      <c r="J42" s="69"/>
      <c r="K42" s="69"/>
      <c r="L42" s="69"/>
      <c r="M42" s="69"/>
      <c r="N42" s="71">
        <v>3972</v>
      </c>
      <c r="O42" s="71">
        <v>0</v>
      </c>
      <c r="P42" s="71">
        <v>0</v>
      </c>
      <c r="Q42" s="69"/>
      <c r="R42" s="69"/>
      <c r="S42" s="69"/>
      <c r="T42" s="391">
        <f t="shared" si="9"/>
        <v>275</v>
      </c>
      <c r="U42" s="391">
        <v>275</v>
      </c>
      <c r="V42" s="71">
        <f t="shared" si="8"/>
        <v>275</v>
      </c>
      <c r="W42" s="71"/>
      <c r="X42" s="215"/>
      <c r="Y42" s="190"/>
      <c r="Z42" s="12" t="s">
        <v>758</v>
      </c>
      <c r="AA42" s="230"/>
      <c r="AB42" s="231"/>
      <c r="AC42" s="174"/>
      <c r="AD42" s="176"/>
      <c r="AE42" s="176"/>
      <c r="AF42" s="176"/>
      <c r="AG42" s="178"/>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c r="GG42" s="169"/>
      <c r="GH42" s="169"/>
      <c r="GI42" s="169"/>
      <c r="GJ42" s="169"/>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c r="IC42" s="169"/>
      <c r="ID42" s="169"/>
      <c r="IE42" s="169"/>
    </row>
    <row r="43" spans="1:239" s="192" customFormat="1" ht="38.25" customHeight="1" hidden="1">
      <c r="A43" s="225" t="s">
        <v>235</v>
      </c>
      <c r="B43" s="226" t="s">
        <v>671</v>
      </c>
      <c r="C43" s="227" t="s">
        <v>57</v>
      </c>
      <c r="D43" s="168"/>
      <c r="E43" s="228" t="s">
        <v>79</v>
      </c>
      <c r="F43" s="229" t="s">
        <v>763</v>
      </c>
      <c r="G43" s="71">
        <v>1050</v>
      </c>
      <c r="H43" s="71">
        <v>81</v>
      </c>
      <c r="I43" s="69"/>
      <c r="J43" s="69"/>
      <c r="K43" s="69"/>
      <c r="L43" s="69"/>
      <c r="M43" s="69"/>
      <c r="N43" s="71">
        <v>969.3</v>
      </c>
      <c r="O43" s="71">
        <v>0</v>
      </c>
      <c r="P43" s="71">
        <v>0</v>
      </c>
      <c r="Q43" s="69"/>
      <c r="R43" s="69"/>
      <c r="S43" s="69"/>
      <c r="T43" s="391">
        <f t="shared" si="9"/>
        <v>81</v>
      </c>
      <c r="U43" s="391">
        <v>81</v>
      </c>
      <c r="V43" s="71">
        <f t="shared" si="8"/>
        <v>81</v>
      </c>
      <c r="W43" s="71"/>
      <c r="X43" s="215"/>
      <c r="Y43" s="190"/>
      <c r="Z43" s="174"/>
      <c r="AA43" s="230"/>
      <c r="AB43" s="231"/>
      <c r="AC43" s="174"/>
      <c r="AD43" s="176"/>
      <c r="AE43" s="176"/>
      <c r="AF43" s="176"/>
      <c r="AG43" s="178"/>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c r="GG43" s="169"/>
      <c r="GH43" s="169"/>
      <c r="GI43" s="169"/>
      <c r="GJ43" s="169"/>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c r="IC43" s="169"/>
      <c r="ID43" s="169"/>
      <c r="IE43" s="169"/>
    </row>
    <row r="44" spans="1:239" s="192" customFormat="1" ht="38.25" hidden="1">
      <c r="A44" s="225" t="s">
        <v>7</v>
      </c>
      <c r="B44" s="226" t="s">
        <v>672</v>
      </c>
      <c r="C44" s="227" t="s">
        <v>358</v>
      </c>
      <c r="D44" s="168"/>
      <c r="E44" s="228" t="s">
        <v>79</v>
      </c>
      <c r="F44" s="229" t="s">
        <v>764</v>
      </c>
      <c r="G44" s="71">
        <v>3953</v>
      </c>
      <c r="H44" s="71">
        <v>991</v>
      </c>
      <c r="I44" s="69"/>
      <c r="J44" s="69"/>
      <c r="K44" s="69"/>
      <c r="L44" s="69"/>
      <c r="M44" s="69"/>
      <c r="N44" s="71">
        <v>2412.7</v>
      </c>
      <c r="O44" s="71">
        <v>0</v>
      </c>
      <c r="P44" s="71">
        <v>0</v>
      </c>
      <c r="Q44" s="69"/>
      <c r="R44" s="69"/>
      <c r="S44" s="69"/>
      <c r="T44" s="391">
        <f t="shared" si="9"/>
        <v>510</v>
      </c>
      <c r="U44" s="391">
        <v>510</v>
      </c>
      <c r="V44" s="71">
        <f t="shared" si="8"/>
        <v>510</v>
      </c>
      <c r="W44" s="71"/>
      <c r="X44" s="215"/>
      <c r="Y44" s="190"/>
      <c r="Z44" s="174"/>
      <c r="AA44" s="230"/>
      <c r="AB44" s="231"/>
      <c r="AC44" s="174"/>
      <c r="AD44" s="176"/>
      <c r="AE44" s="176"/>
      <c r="AF44" s="176"/>
      <c r="AG44" s="178"/>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c r="GG44" s="169"/>
      <c r="GH44" s="169"/>
      <c r="GI44" s="169"/>
      <c r="GJ44" s="169"/>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row>
    <row r="45" spans="1:239" s="192" customFormat="1" ht="38.25" customHeight="1" hidden="1">
      <c r="A45" s="225" t="s">
        <v>8</v>
      </c>
      <c r="B45" s="226" t="s">
        <v>673</v>
      </c>
      <c r="C45" s="227" t="s">
        <v>55</v>
      </c>
      <c r="D45" s="168"/>
      <c r="E45" s="228" t="s">
        <v>765</v>
      </c>
      <c r="F45" s="229" t="s">
        <v>766</v>
      </c>
      <c r="G45" s="71">
        <v>4150</v>
      </c>
      <c r="H45" s="71">
        <v>1468.9</v>
      </c>
      <c r="I45" s="69"/>
      <c r="J45" s="69"/>
      <c r="K45" s="69"/>
      <c r="L45" s="69"/>
      <c r="M45" s="69"/>
      <c r="N45" s="71">
        <v>2681.1</v>
      </c>
      <c r="O45" s="71">
        <v>0</v>
      </c>
      <c r="P45" s="71">
        <v>0</v>
      </c>
      <c r="Q45" s="69"/>
      <c r="R45" s="69"/>
      <c r="S45" s="69"/>
      <c r="T45" s="391">
        <f t="shared" si="9"/>
        <v>294</v>
      </c>
      <c r="U45" s="391">
        <v>294</v>
      </c>
      <c r="V45" s="71">
        <f t="shared" si="8"/>
        <v>294</v>
      </c>
      <c r="W45" s="71"/>
      <c r="X45" s="215"/>
      <c r="Y45" s="190"/>
      <c r="Z45" s="174"/>
      <c r="AA45" s="230"/>
      <c r="AB45" s="231"/>
      <c r="AC45" s="174"/>
      <c r="AD45" s="176"/>
      <c r="AE45" s="176"/>
      <c r="AF45" s="176"/>
      <c r="AG45" s="178"/>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c r="GG45" s="169"/>
      <c r="GH45" s="169"/>
      <c r="GI45" s="169"/>
      <c r="GJ45" s="169"/>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row>
    <row r="46" spans="1:239" s="192" customFormat="1" ht="38.25" customHeight="1" hidden="1">
      <c r="A46" s="225" t="s">
        <v>9</v>
      </c>
      <c r="B46" s="226" t="s">
        <v>674</v>
      </c>
      <c r="C46" s="227" t="s">
        <v>55</v>
      </c>
      <c r="D46" s="168"/>
      <c r="E46" s="228" t="s">
        <v>765</v>
      </c>
      <c r="F46" s="229" t="s">
        <v>767</v>
      </c>
      <c r="G46" s="71">
        <v>2100</v>
      </c>
      <c r="H46" s="71">
        <v>749</v>
      </c>
      <c r="I46" s="69"/>
      <c r="J46" s="69"/>
      <c r="K46" s="69"/>
      <c r="L46" s="69"/>
      <c r="M46" s="69"/>
      <c r="N46" s="71">
        <v>1351</v>
      </c>
      <c r="O46" s="71">
        <v>0</v>
      </c>
      <c r="P46" s="71">
        <v>0</v>
      </c>
      <c r="Q46" s="69"/>
      <c r="R46" s="69"/>
      <c r="S46" s="69"/>
      <c r="T46" s="391">
        <f t="shared" si="9"/>
        <v>145.1</v>
      </c>
      <c r="U46" s="391">
        <v>145.1</v>
      </c>
      <c r="V46" s="71">
        <f t="shared" si="8"/>
        <v>145.1</v>
      </c>
      <c r="W46" s="71"/>
      <c r="X46" s="215"/>
      <c r="Y46" s="190"/>
      <c r="Z46" s="174"/>
      <c r="AA46" s="230"/>
      <c r="AB46" s="231"/>
      <c r="AC46" s="174"/>
      <c r="AD46" s="176"/>
      <c r="AE46" s="176"/>
      <c r="AF46" s="176"/>
      <c r="AG46" s="178"/>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c r="GG46" s="169"/>
      <c r="GH46" s="169"/>
      <c r="GI46" s="169"/>
      <c r="GJ46" s="169"/>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row>
    <row r="47" spans="1:239" s="192" customFormat="1" ht="38.25" hidden="1">
      <c r="A47" s="225" t="s">
        <v>10</v>
      </c>
      <c r="B47" s="226" t="s">
        <v>675</v>
      </c>
      <c r="C47" s="227" t="s">
        <v>46</v>
      </c>
      <c r="D47" s="168"/>
      <c r="E47" s="228" t="s">
        <v>765</v>
      </c>
      <c r="F47" s="229" t="s">
        <v>768</v>
      </c>
      <c r="G47" s="71">
        <v>2550</v>
      </c>
      <c r="H47" s="71">
        <v>621</v>
      </c>
      <c r="I47" s="69"/>
      <c r="J47" s="69"/>
      <c r="K47" s="69"/>
      <c r="L47" s="69"/>
      <c r="M47" s="69"/>
      <c r="N47" s="71">
        <v>1929</v>
      </c>
      <c r="O47" s="71">
        <v>0</v>
      </c>
      <c r="P47" s="71">
        <v>0</v>
      </c>
      <c r="Q47" s="69"/>
      <c r="R47" s="69"/>
      <c r="S47" s="69"/>
      <c r="T47" s="391">
        <f t="shared" si="9"/>
        <v>217</v>
      </c>
      <c r="U47" s="391">
        <v>217</v>
      </c>
      <c r="V47" s="71">
        <f t="shared" si="8"/>
        <v>217</v>
      </c>
      <c r="W47" s="71"/>
      <c r="X47" s="215"/>
      <c r="Y47" s="190"/>
      <c r="Z47" s="174"/>
      <c r="AA47" s="230"/>
      <c r="AB47" s="231"/>
      <c r="AC47" s="174"/>
      <c r="AD47" s="176"/>
      <c r="AE47" s="176"/>
      <c r="AF47" s="176"/>
      <c r="AG47" s="178"/>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c r="GG47" s="169"/>
      <c r="GH47" s="169"/>
      <c r="GI47" s="169"/>
      <c r="GJ47" s="169"/>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row>
    <row r="48" spans="1:239" s="245" customFormat="1" ht="25.5" customHeight="1" hidden="1">
      <c r="A48" s="232" t="s">
        <v>40</v>
      </c>
      <c r="B48" s="534" t="s">
        <v>769</v>
      </c>
      <c r="C48" s="233"/>
      <c r="D48" s="234"/>
      <c r="E48" s="235"/>
      <c r="F48" s="236"/>
      <c r="G48" s="237"/>
      <c r="H48" s="237"/>
      <c r="I48" s="237"/>
      <c r="J48" s="237"/>
      <c r="K48" s="237"/>
      <c r="L48" s="237"/>
      <c r="M48" s="237"/>
      <c r="N48" s="237"/>
      <c r="O48" s="237"/>
      <c r="P48" s="237"/>
      <c r="Q48" s="237"/>
      <c r="R48" s="237"/>
      <c r="S48" s="237"/>
      <c r="T48" s="237"/>
      <c r="U48" s="237"/>
      <c r="V48" s="237"/>
      <c r="W48" s="237"/>
      <c r="X48" s="238"/>
      <c r="Y48" s="238"/>
      <c r="Z48" s="239" t="s">
        <v>770</v>
      </c>
      <c r="AA48" s="240"/>
      <c r="AB48" s="241"/>
      <c r="AC48" s="239"/>
      <c r="AD48" s="242"/>
      <c r="AE48" s="242"/>
      <c r="AF48" s="242"/>
      <c r="AG48" s="243"/>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c r="GS48" s="244"/>
      <c r="GT48" s="244"/>
      <c r="GU48" s="244"/>
      <c r="GV48" s="244"/>
      <c r="GW48" s="244"/>
      <c r="GX48" s="244"/>
      <c r="GY48" s="244"/>
      <c r="GZ48" s="244"/>
      <c r="HA48" s="244"/>
      <c r="HB48" s="244"/>
      <c r="HC48" s="244"/>
      <c r="HD48" s="244"/>
      <c r="HE48" s="244"/>
      <c r="HF48" s="244"/>
      <c r="HG48" s="244"/>
      <c r="HH48" s="244"/>
      <c r="HI48" s="244"/>
      <c r="HJ48" s="244"/>
      <c r="HK48" s="244"/>
      <c r="HL48" s="244"/>
      <c r="HM48" s="244"/>
      <c r="HN48" s="244"/>
      <c r="HO48" s="244"/>
      <c r="HP48" s="244"/>
      <c r="HQ48" s="244"/>
      <c r="HR48" s="244"/>
      <c r="HS48" s="244"/>
      <c r="HT48" s="244"/>
      <c r="HU48" s="244"/>
      <c r="HV48" s="244"/>
      <c r="HW48" s="244"/>
      <c r="HX48" s="244"/>
      <c r="HY48" s="244"/>
      <c r="HZ48" s="244"/>
      <c r="IA48" s="244"/>
      <c r="IB48" s="244"/>
      <c r="IC48" s="244"/>
      <c r="ID48" s="244"/>
      <c r="IE48" s="244"/>
    </row>
    <row r="49" spans="1:239" s="192" customFormat="1" ht="51" customHeight="1" hidden="1">
      <c r="A49" s="13">
        <v>1</v>
      </c>
      <c r="B49" s="226" t="s">
        <v>676</v>
      </c>
      <c r="C49" s="222"/>
      <c r="D49" s="168"/>
      <c r="E49" s="223"/>
      <c r="F49" s="216" t="s">
        <v>771</v>
      </c>
      <c r="G49" s="391">
        <v>2810</v>
      </c>
      <c r="H49" s="391">
        <v>510</v>
      </c>
      <c r="I49" s="69"/>
      <c r="J49" s="69"/>
      <c r="K49" s="69"/>
      <c r="L49" s="69"/>
      <c r="M49" s="69"/>
      <c r="N49" s="391"/>
      <c r="O49" s="391"/>
      <c r="P49" s="391"/>
      <c r="Q49" s="391"/>
      <c r="R49" s="391"/>
      <c r="S49" s="391"/>
      <c r="T49" s="391">
        <f>U49</f>
        <v>230</v>
      </c>
      <c r="U49" s="391">
        <v>230</v>
      </c>
      <c r="V49" s="71">
        <f>U49</f>
        <v>230</v>
      </c>
      <c r="W49" s="71"/>
      <c r="X49" s="535"/>
      <c r="Y49" s="190"/>
      <c r="Z49" s="174"/>
      <c r="AA49" s="230"/>
      <c r="AB49" s="231"/>
      <c r="AC49" s="174"/>
      <c r="AD49" s="176"/>
      <c r="AE49" s="176"/>
      <c r="AF49" s="176"/>
      <c r="AG49" s="178"/>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c r="GJ49" s="169"/>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row>
    <row r="50" spans="1:239" s="192" customFormat="1" ht="76.5" customHeight="1" hidden="1">
      <c r="A50" s="13">
        <v>2</v>
      </c>
      <c r="B50" s="226" t="s">
        <v>677</v>
      </c>
      <c r="C50" s="222"/>
      <c r="D50" s="168"/>
      <c r="E50" s="223"/>
      <c r="F50" s="216" t="s">
        <v>772</v>
      </c>
      <c r="G50" s="536">
        <v>3528</v>
      </c>
      <c r="H50" s="391">
        <f>G50-K50</f>
        <v>3528</v>
      </c>
      <c r="I50" s="69"/>
      <c r="J50" s="69"/>
      <c r="K50" s="69"/>
      <c r="L50" s="69"/>
      <c r="M50" s="69"/>
      <c r="N50" s="391"/>
      <c r="O50" s="391"/>
      <c r="P50" s="391"/>
      <c r="Q50" s="391"/>
      <c r="R50" s="391"/>
      <c r="S50" s="391"/>
      <c r="T50" s="391">
        <f>U50</f>
        <v>280</v>
      </c>
      <c r="U50" s="537">
        <v>280</v>
      </c>
      <c r="V50" s="71">
        <f>U50</f>
        <v>280</v>
      </c>
      <c r="W50" s="71"/>
      <c r="X50" s="538"/>
      <c r="Y50" s="190"/>
      <c r="Z50" s="174"/>
      <c r="AA50" s="230"/>
      <c r="AB50" s="231"/>
      <c r="AC50" s="174"/>
      <c r="AD50" s="176"/>
      <c r="AE50" s="176"/>
      <c r="AF50" s="176"/>
      <c r="AG50" s="178"/>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c r="GJ50" s="169"/>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row>
    <row r="51" spans="1:239" s="192" customFormat="1" ht="25.5" customHeight="1" hidden="1">
      <c r="A51" s="13">
        <v>3</v>
      </c>
      <c r="B51" s="226" t="s">
        <v>678</v>
      </c>
      <c r="C51" s="222"/>
      <c r="D51" s="168"/>
      <c r="E51" s="223"/>
      <c r="F51" s="216" t="s">
        <v>773</v>
      </c>
      <c r="G51" s="391">
        <f>H51+K51</f>
        <v>300</v>
      </c>
      <c r="H51" s="391">
        <v>300</v>
      </c>
      <c r="I51" s="69"/>
      <c r="J51" s="69"/>
      <c r="K51" s="69"/>
      <c r="L51" s="69"/>
      <c r="M51" s="69"/>
      <c r="N51" s="391"/>
      <c r="O51" s="391"/>
      <c r="P51" s="391"/>
      <c r="Q51" s="391"/>
      <c r="R51" s="391"/>
      <c r="S51" s="391"/>
      <c r="T51" s="391">
        <f>U51</f>
        <v>120</v>
      </c>
      <c r="U51" s="537">
        <v>120</v>
      </c>
      <c r="V51" s="71">
        <f>U51</f>
        <v>120</v>
      </c>
      <c r="W51" s="71"/>
      <c r="X51" s="538"/>
      <c r="Y51" s="190"/>
      <c r="Z51" s="174"/>
      <c r="AA51" s="230"/>
      <c r="AB51" s="231"/>
      <c r="AC51" s="174"/>
      <c r="AD51" s="176"/>
      <c r="AE51" s="176"/>
      <c r="AF51" s="176"/>
      <c r="AG51" s="178"/>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c r="FO51" s="169"/>
      <c r="FP51" s="169"/>
      <c r="FQ51" s="169"/>
      <c r="FR51" s="169"/>
      <c r="FS51" s="169"/>
      <c r="FT51" s="169"/>
      <c r="FU51" s="169"/>
      <c r="FV51" s="169"/>
      <c r="FW51" s="169"/>
      <c r="FX51" s="169"/>
      <c r="FY51" s="169"/>
      <c r="FZ51" s="169"/>
      <c r="GA51" s="169"/>
      <c r="GB51" s="169"/>
      <c r="GC51" s="169"/>
      <c r="GD51" s="169"/>
      <c r="GE51" s="169"/>
      <c r="GF51" s="169"/>
      <c r="GG51" s="169"/>
      <c r="GH51" s="169"/>
      <c r="GI51" s="169"/>
      <c r="GJ51" s="169"/>
      <c r="GK51" s="169"/>
      <c r="GL51" s="169"/>
      <c r="GM51" s="169"/>
      <c r="GN51" s="169"/>
      <c r="GO51" s="169"/>
      <c r="GP51" s="169"/>
      <c r="GQ51" s="169"/>
      <c r="GR51" s="169"/>
      <c r="GS51" s="169"/>
      <c r="GT51" s="169"/>
      <c r="GU51" s="169"/>
      <c r="GV51" s="169"/>
      <c r="GW51" s="169"/>
      <c r="GX51" s="169"/>
      <c r="GY51" s="169"/>
      <c r="GZ51" s="169"/>
      <c r="HA51" s="169"/>
      <c r="HB51" s="169"/>
      <c r="HC51" s="169"/>
      <c r="HD51" s="169"/>
      <c r="HE51" s="169"/>
      <c r="HF51" s="169"/>
      <c r="HG51" s="169"/>
      <c r="HH51" s="169"/>
      <c r="HI51" s="169"/>
      <c r="HJ51" s="169"/>
      <c r="HK51" s="169"/>
      <c r="HL51" s="169"/>
      <c r="HM51" s="169"/>
      <c r="HN51" s="169"/>
      <c r="HO51" s="169"/>
      <c r="HP51" s="169"/>
      <c r="HQ51" s="169"/>
      <c r="HR51" s="169"/>
      <c r="HS51" s="169"/>
      <c r="HT51" s="169"/>
      <c r="HU51" s="169"/>
      <c r="HV51" s="169"/>
      <c r="HW51" s="169"/>
      <c r="HX51" s="169"/>
      <c r="HY51" s="169"/>
      <c r="HZ51" s="169"/>
      <c r="IA51" s="169"/>
      <c r="IB51" s="169"/>
      <c r="IC51" s="169"/>
      <c r="ID51" s="169"/>
      <c r="IE51" s="169"/>
    </row>
    <row r="52" spans="1:239" s="192" customFormat="1" ht="12.75" hidden="1">
      <c r="A52" s="246" t="s">
        <v>45</v>
      </c>
      <c r="B52" s="247" t="s">
        <v>679</v>
      </c>
      <c r="C52" s="168"/>
      <c r="D52" s="168"/>
      <c r="E52" s="223"/>
      <c r="F52" s="224"/>
      <c r="G52" s="69"/>
      <c r="H52" s="69"/>
      <c r="I52" s="69"/>
      <c r="J52" s="69"/>
      <c r="K52" s="69"/>
      <c r="L52" s="69"/>
      <c r="M52" s="69"/>
      <c r="N52" s="69"/>
      <c r="O52" s="69"/>
      <c r="P52" s="69"/>
      <c r="Q52" s="69"/>
      <c r="R52" s="69"/>
      <c r="S52" s="69"/>
      <c r="T52" s="69"/>
      <c r="U52" s="69"/>
      <c r="V52" s="69"/>
      <c r="W52" s="69"/>
      <c r="X52" s="190"/>
      <c r="Y52" s="190"/>
      <c r="Z52" s="174"/>
      <c r="AA52" s="191"/>
      <c r="AB52" s="177"/>
      <c r="AC52" s="174"/>
      <c r="AD52" s="176"/>
      <c r="AE52" s="176"/>
      <c r="AF52" s="176"/>
      <c r="AG52" s="178"/>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c r="FO52" s="169"/>
      <c r="FP52" s="169"/>
      <c r="FQ52" s="169"/>
      <c r="FR52" s="169"/>
      <c r="FS52" s="169"/>
      <c r="FT52" s="169"/>
      <c r="FU52" s="169"/>
      <c r="FV52" s="169"/>
      <c r="FW52" s="169"/>
      <c r="FX52" s="169"/>
      <c r="FY52" s="169"/>
      <c r="FZ52" s="169"/>
      <c r="GA52" s="169"/>
      <c r="GB52" s="169"/>
      <c r="GC52" s="169"/>
      <c r="GD52" s="169"/>
      <c r="GE52" s="169"/>
      <c r="GF52" s="169"/>
      <c r="GG52" s="169"/>
      <c r="GH52" s="169"/>
      <c r="GI52" s="169"/>
      <c r="GJ52" s="169"/>
      <c r="GK52" s="169"/>
      <c r="GL52" s="169"/>
      <c r="GM52" s="169"/>
      <c r="GN52" s="169"/>
      <c r="GO52" s="169"/>
      <c r="GP52" s="169"/>
      <c r="GQ52" s="169"/>
      <c r="GR52" s="169"/>
      <c r="GS52" s="169"/>
      <c r="GT52" s="169"/>
      <c r="GU52" s="169"/>
      <c r="GV52" s="169"/>
      <c r="GW52" s="169"/>
      <c r="GX52" s="169"/>
      <c r="GY52" s="169"/>
      <c r="GZ52" s="169"/>
      <c r="HA52" s="169"/>
      <c r="HB52" s="169"/>
      <c r="HC52" s="169"/>
      <c r="HD52" s="169"/>
      <c r="HE52" s="169"/>
      <c r="HF52" s="169"/>
      <c r="HG52" s="169"/>
      <c r="HH52" s="169"/>
      <c r="HI52" s="169"/>
      <c r="HJ52" s="169"/>
      <c r="HK52" s="169"/>
      <c r="HL52" s="169"/>
      <c r="HM52" s="169"/>
      <c r="HN52" s="169"/>
      <c r="HO52" s="169"/>
      <c r="HP52" s="169"/>
      <c r="HQ52" s="169"/>
      <c r="HR52" s="169"/>
      <c r="HS52" s="169"/>
      <c r="HT52" s="169"/>
      <c r="HU52" s="169"/>
      <c r="HV52" s="169"/>
      <c r="HW52" s="169"/>
      <c r="HX52" s="169"/>
      <c r="HY52" s="169"/>
      <c r="HZ52" s="169"/>
      <c r="IA52" s="169"/>
      <c r="IB52" s="169"/>
      <c r="IC52" s="169"/>
      <c r="ID52" s="169"/>
      <c r="IE52" s="169"/>
    </row>
    <row r="53" spans="1:239" ht="63.75" hidden="1">
      <c r="A53" s="213">
        <v>1</v>
      </c>
      <c r="B53" s="248" t="s">
        <v>680</v>
      </c>
      <c r="C53" s="249" t="s">
        <v>681</v>
      </c>
      <c r="D53" s="25"/>
      <c r="E53" s="249" t="s">
        <v>682</v>
      </c>
      <c r="F53" s="207" t="s">
        <v>683</v>
      </c>
      <c r="G53" s="71">
        <v>320000</v>
      </c>
      <c r="H53" s="71">
        <v>6172</v>
      </c>
      <c r="I53" s="71"/>
      <c r="J53" s="71"/>
      <c r="K53" s="71"/>
      <c r="L53" s="71"/>
      <c r="M53" s="71"/>
      <c r="N53" s="71">
        <v>294720</v>
      </c>
      <c r="O53" s="71"/>
      <c r="P53" s="71">
        <v>5000</v>
      </c>
      <c r="Q53" s="71"/>
      <c r="R53" s="71"/>
      <c r="S53" s="71"/>
      <c r="T53" s="71"/>
      <c r="U53" s="71"/>
      <c r="V53" s="71"/>
      <c r="W53" s="71">
        <f>X53</f>
        <v>0</v>
      </c>
      <c r="X53" s="215"/>
      <c r="Y53" s="215"/>
      <c r="Z53" s="12" t="s">
        <v>749</v>
      </c>
      <c r="AA53" s="172"/>
      <c r="AB53" s="177"/>
      <c r="AC53" s="12"/>
      <c r="AD53" s="17"/>
      <c r="AE53" s="17"/>
      <c r="AF53" s="17"/>
      <c r="AG53" s="23"/>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row>
    <row r="54" spans="1:239" s="192" customFormat="1" ht="20.25" customHeight="1">
      <c r="A54" s="246" t="s">
        <v>45</v>
      </c>
      <c r="B54" s="247" t="s">
        <v>684</v>
      </c>
      <c r="C54" s="246"/>
      <c r="D54" s="168"/>
      <c r="E54" s="223"/>
      <c r="F54" s="224"/>
      <c r="G54" s="69">
        <f>G55</f>
        <v>274335</v>
      </c>
      <c r="H54" s="69">
        <f aca="true" t="shared" si="10" ref="H54:X54">H55</f>
        <v>3910</v>
      </c>
      <c r="I54" s="69">
        <f t="shared" si="10"/>
        <v>0</v>
      </c>
      <c r="J54" s="69">
        <f t="shared" si="10"/>
        <v>0</v>
      </c>
      <c r="K54" s="69">
        <f t="shared" si="10"/>
        <v>0</v>
      </c>
      <c r="L54" s="69">
        <f t="shared" si="10"/>
        <v>0</v>
      </c>
      <c r="M54" s="69">
        <f t="shared" si="10"/>
        <v>0</v>
      </c>
      <c r="N54" s="69">
        <f t="shared" si="10"/>
        <v>91393</v>
      </c>
      <c r="O54" s="69">
        <f t="shared" si="10"/>
        <v>0</v>
      </c>
      <c r="P54" s="69">
        <f t="shared" si="10"/>
        <v>16738</v>
      </c>
      <c r="Q54" s="69">
        <f t="shared" si="10"/>
        <v>0</v>
      </c>
      <c r="R54" s="69">
        <f t="shared" si="10"/>
        <v>0</v>
      </c>
      <c r="S54" s="69">
        <f t="shared" si="10"/>
        <v>0</v>
      </c>
      <c r="T54" s="69">
        <f t="shared" si="10"/>
        <v>3910</v>
      </c>
      <c r="U54" s="69">
        <f t="shared" si="10"/>
        <v>3910</v>
      </c>
      <c r="V54" s="69">
        <f t="shared" si="10"/>
        <v>0</v>
      </c>
      <c r="W54" s="69">
        <f t="shared" si="10"/>
        <v>3910</v>
      </c>
      <c r="X54" s="190">
        <f t="shared" si="10"/>
        <v>0</v>
      </c>
      <c r="Y54" s="190"/>
      <c r="Z54" s="174"/>
      <c r="AA54" s="191"/>
      <c r="AB54" s="177"/>
      <c r="AC54" s="174"/>
      <c r="AD54" s="176"/>
      <c r="AE54" s="176"/>
      <c r="AF54" s="176"/>
      <c r="AG54" s="178"/>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row>
    <row r="55" spans="1:239" ht="63.75">
      <c r="A55" s="213">
        <v>1</v>
      </c>
      <c r="B55" s="248" t="s">
        <v>685</v>
      </c>
      <c r="C55" s="249" t="s">
        <v>654</v>
      </c>
      <c r="D55" s="25"/>
      <c r="E55" s="249" t="s">
        <v>686</v>
      </c>
      <c r="F55" s="207" t="s">
        <v>687</v>
      </c>
      <c r="G55" s="71">
        <v>274335</v>
      </c>
      <c r="H55" s="71">
        <v>3910</v>
      </c>
      <c r="I55" s="71"/>
      <c r="J55" s="71"/>
      <c r="K55" s="71"/>
      <c r="L55" s="71"/>
      <c r="M55" s="71"/>
      <c r="N55" s="71">
        <v>91393</v>
      </c>
      <c r="O55" s="71"/>
      <c r="P55" s="71">
        <v>16738</v>
      </c>
      <c r="Q55" s="71"/>
      <c r="R55" s="71"/>
      <c r="S55" s="71"/>
      <c r="T55" s="71">
        <f>U55+V55</f>
        <v>3910</v>
      </c>
      <c r="U55" s="71">
        <v>3910</v>
      </c>
      <c r="V55" s="71"/>
      <c r="W55" s="71">
        <f>U55</f>
        <v>3910</v>
      </c>
      <c r="X55" s="215"/>
      <c r="Y55" s="215"/>
      <c r="Z55" s="12" t="s">
        <v>688</v>
      </c>
      <c r="AA55" s="172"/>
      <c r="AB55" s="177"/>
      <c r="AC55" s="12"/>
      <c r="AD55" s="17"/>
      <c r="AE55" s="17"/>
      <c r="AF55" s="17"/>
      <c r="AG55" s="23"/>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row>
    <row r="56" spans="1:239" s="192" customFormat="1" ht="25.5">
      <c r="A56" s="250" t="s">
        <v>47</v>
      </c>
      <c r="B56" s="251" t="s">
        <v>689</v>
      </c>
      <c r="C56" s="246"/>
      <c r="D56" s="168"/>
      <c r="E56" s="223"/>
      <c r="F56" s="224"/>
      <c r="G56" s="69">
        <f>SUM(G57:G60)</f>
        <v>57921</v>
      </c>
      <c r="H56" s="69">
        <f aca="true" t="shared" si="11" ref="H56:X56">SUM(H57:H60)</f>
        <v>18931</v>
      </c>
      <c r="I56" s="69">
        <f t="shared" si="11"/>
        <v>0</v>
      </c>
      <c r="J56" s="69">
        <f t="shared" si="11"/>
        <v>0</v>
      </c>
      <c r="K56" s="69">
        <f t="shared" si="11"/>
        <v>0</v>
      </c>
      <c r="L56" s="69">
        <f t="shared" si="11"/>
        <v>0</v>
      </c>
      <c r="M56" s="69">
        <f t="shared" si="11"/>
        <v>0</v>
      </c>
      <c r="N56" s="69">
        <f t="shared" si="11"/>
        <v>7000</v>
      </c>
      <c r="O56" s="69">
        <f t="shared" si="11"/>
        <v>0</v>
      </c>
      <c r="P56" s="69">
        <f t="shared" si="11"/>
        <v>6000</v>
      </c>
      <c r="Q56" s="69">
        <f t="shared" si="11"/>
        <v>0</v>
      </c>
      <c r="R56" s="69">
        <f t="shared" si="11"/>
        <v>0</v>
      </c>
      <c r="S56" s="69">
        <f t="shared" si="11"/>
        <v>0</v>
      </c>
      <c r="T56" s="69">
        <f t="shared" si="11"/>
        <v>18931</v>
      </c>
      <c r="U56" s="69">
        <f t="shared" si="11"/>
        <v>18931</v>
      </c>
      <c r="V56" s="69">
        <f t="shared" si="11"/>
        <v>12000</v>
      </c>
      <c r="W56" s="69">
        <f t="shared" si="11"/>
        <v>5300</v>
      </c>
      <c r="X56" s="190">
        <f t="shared" si="11"/>
        <v>5000</v>
      </c>
      <c r="Y56" s="190"/>
      <c r="Z56" s="174"/>
      <c r="AA56" s="191"/>
      <c r="AB56" s="177"/>
      <c r="AC56" s="174"/>
      <c r="AD56" s="176"/>
      <c r="AE56" s="176"/>
      <c r="AF56" s="176"/>
      <c r="AG56" s="178"/>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c r="GJ56" s="169"/>
      <c r="GK56" s="169"/>
      <c r="GL56" s="169"/>
      <c r="GM56" s="169"/>
      <c r="GN56" s="169"/>
      <c r="GO56" s="169"/>
      <c r="GP56" s="169"/>
      <c r="GQ56" s="169"/>
      <c r="GR56" s="169"/>
      <c r="GS56" s="169"/>
      <c r="GT56" s="169"/>
      <c r="GU56" s="169"/>
      <c r="GV56" s="169"/>
      <c r="GW56" s="169"/>
      <c r="GX56" s="169"/>
      <c r="GY56" s="169"/>
      <c r="GZ56" s="169"/>
      <c r="HA56" s="169"/>
      <c r="HB56" s="169"/>
      <c r="HC56" s="169"/>
      <c r="HD56" s="169"/>
      <c r="HE56" s="169"/>
      <c r="HF56" s="169"/>
      <c r="HG56" s="169"/>
      <c r="HH56" s="169"/>
      <c r="HI56" s="169"/>
      <c r="HJ56" s="169"/>
      <c r="HK56" s="169"/>
      <c r="HL56" s="169"/>
      <c r="HM56" s="169"/>
      <c r="HN56" s="169"/>
      <c r="HO56" s="169"/>
      <c r="HP56" s="169"/>
      <c r="HQ56" s="169"/>
      <c r="HR56" s="169"/>
      <c r="HS56" s="169"/>
      <c r="HT56" s="169"/>
      <c r="HU56" s="169"/>
      <c r="HV56" s="169"/>
      <c r="HW56" s="169"/>
      <c r="HX56" s="169"/>
      <c r="HY56" s="169"/>
      <c r="HZ56" s="169"/>
      <c r="IA56" s="169"/>
      <c r="IB56" s="169"/>
      <c r="IC56" s="169"/>
      <c r="ID56" s="169"/>
      <c r="IE56" s="169"/>
    </row>
    <row r="57" spans="1:239" ht="51">
      <c r="A57" s="213">
        <v>1</v>
      </c>
      <c r="B57" s="184" t="s">
        <v>690</v>
      </c>
      <c r="C57" s="249" t="s">
        <v>691</v>
      </c>
      <c r="D57" s="25"/>
      <c r="E57" s="186" t="s">
        <v>437</v>
      </c>
      <c r="F57" s="186" t="s">
        <v>692</v>
      </c>
      <c r="G57" s="71">
        <v>52204</v>
      </c>
      <c r="H57" s="71">
        <f>G57-27000-7000</f>
        <v>18204</v>
      </c>
      <c r="I57" s="71"/>
      <c r="J57" s="71"/>
      <c r="K57" s="71"/>
      <c r="L57" s="71"/>
      <c r="M57" s="71"/>
      <c r="N57" s="71">
        <v>7000</v>
      </c>
      <c r="O57" s="71"/>
      <c r="P57" s="71">
        <v>6000</v>
      </c>
      <c r="Q57" s="71"/>
      <c r="R57" s="71"/>
      <c r="S57" s="71"/>
      <c r="T57" s="71">
        <f>H57</f>
        <v>18204</v>
      </c>
      <c r="U57" s="71">
        <f>T57</f>
        <v>18204</v>
      </c>
      <c r="V57" s="71">
        <v>12000</v>
      </c>
      <c r="W57" s="71">
        <v>5000</v>
      </c>
      <c r="X57" s="215">
        <f>W57</f>
        <v>5000</v>
      </c>
      <c r="Y57" s="215"/>
      <c r="Z57" s="12" t="s">
        <v>917</v>
      </c>
      <c r="AA57" s="172"/>
      <c r="AB57" s="177"/>
      <c r="AC57" s="12"/>
      <c r="AD57" s="17"/>
      <c r="AE57" s="17"/>
      <c r="AF57" s="17"/>
      <c r="AG57" s="23"/>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row>
    <row r="58" spans="1:239" ht="36.75" customHeight="1">
      <c r="A58" s="213">
        <v>2</v>
      </c>
      <c r="B58" s="248" t="s">
        <v>693</v>
      </c>
      <c r="C58" s="249" t="s">
        <v>694</v>
      </c>
      <c r="D58" s="25"/>
      <c r="E58" s="249" t="s">
        <v>121</v>
      </c>
      <c r="F58" s="249" t="s">
        <v>695</v>
      </c>
      <c r="G58" s="71">
        <v>2072</v>
      </c>
      <c r="H58" s="71">
        <f>+G58-1700</f>
        <v>372</v>
      </c>
      <c r="I58" s="71"/>
      <c r="J58" s="71"/>
      <c r="K58" s="71"/>
      <c r="L58" s="71"/>
      <c r="M58" s="71"/>
      <c r="N58" s="71"/>
      <c r="O58" s="71"/>
      <c r="P58" s="71"/>
      <c r="Q58" s="71"/>
      <c r="R58" s="71"/>
      <c r="S58" s="71"/>
      <c r="T58" s="71">
        <f>U58+V58</f>
        <v>372</v>
      </c>
      <c r="U58" s="71">
        <f>H58</f>
        <v>372</v>
      </c>
      <c r="V58" s="71"/>
      <c r="W58" s="71">
        <v>150</v>
      </c>
      <c r="X58" s="215"/>
      <c r="Y58" s="215"/>
      <c r="Z58" s="12"/>
      <c r="AA58" s="172"/>
      <c r="AB58" s="177"/>
      <c r="AC58" s="12"/>
      <c r="AD58" s="17"/>
      <c r="AE58" s="17"/>
      <c r="AF58" s="17"/>
      <c r="AG58" s="23"/>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row>
    <row r="59" spans="1:239" ht="35.25" customHeight="1">
      <c r="A59" s="213">
        <v>3</v>
      </c>
      <c r="B59" s="248" t="s">
        <v>696</v>
      </c>
      <c r="C59" s="249" t="s">
        <v>691</v>
      </c>
      <c r="D59" s="25"/>
      <c r="E59" s="249" t="s">
        <v>121</v>
      </c>
      <c r="F59" s="249" t="s">
        <v>697</v>
      </c>
      <c r="G59" s="71">
        <v>2290</v>
      </c>
      <c r="H59" s="71"/>
      <c r="I59" s="71"/>
      <c r="J59" s="71"/>
      <c r="K59" s="71"/>
      <c r="L59" s="71"/>
      <c r="M59" s="71"/>
      <c r="N59" s="71"/>
      <c r="O59" s="71"/>
      <c r="P59" s="71"/>
      <c r="Q59" s="71"/>
      <c r="R59" s="71"/>
      <c r="S59" s="71"/>
      <c r="T59" s="71">
        <f>U59+V59</f>
        <v>0</v>
      </c>
      <c r="U59" s="71">
        <f>H59</f>
        <v>0</v>
      </c>
      <c r="V59" s="71"/>
      <c r="W59" s="71">
        <f>X59</f>
        <v>0</v>
      </c>
      <c r="X59" s="215">
        <f>U59</f>
        <v>0</v>
      </c>
      <c r="Y59" s="215"/>
      <c r="Z59" s="12"/>
      <c r="AA59" s="172"/>
      <c r="AB59" s="177"/>
      <c r="AC59" s="12"/>
      <c r="AD59" s="17"/>
      <c r="AE59" s="17"/>
      <c r="AF59" s="17"/>
      <c r="AG59" s="23"/>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row>
    <row r="60" spans="1:239" ht="36" customHeight="1">
      <c r="A60" s="213">
        <v>4</v>
      </c>
      <c r="B60" s="248" t="s">
        <v>698</v>
      </c>
      <c r="C60" s="249" t="s">
        <v>694</v>
      </c>
      <c r="D60" s="25"/>
      <c r="E60" s="249" t="s">
        <v>121</v>
      </c>
      <c r="F60" s="249" t="s">
        <v>699</v>
      </c>
      <c r="G60" s="71">
        <v>1355</v>
      </c>
      <c r="H60" s="71">
        <v>355</v>
      </c>
      <c r="I60" s="71"/>
      <c r="J60" s="71"/>
      <c r="K60" s="71"/>
      <c r="L60" s="71"/>
      <c r="M60" s="71"/>
      <c r="N60" s="71"/>
      <c r="O60" s="71"/>
      <c r="P60" s="71"/>
      <c r="Q60" s="71"/>
      <c r="R60" s="71"/>
      <c r="S60" s="71"/>
      <c r="T60" s="71">
        <f>U60+V60</f>
        <v>355</v>
      </c>
      <c r="U60" s="71">
        <f>H60</f>
        <v>355</v>
      </c>
      <c r="V60" s="71"/>
      <c r="W60" s="71">
        <v>150</v>
      </c>
      <c r="X60" s="215"/>
      <c r="Y60" s="215"/>
      <c r="Z60" s="12"/>
      <c r="AA60" s="172"/>
      <c r="AB60" s="177"/>
      <c r="AC60" s="12"/>
      <c r="AD60" s="17"/>
      <c r="AE60" s="17"/>
      <c r="AF60" s="17"/>
      <c r="AG60" s="23"/>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row>
    <row r="61" spans="1:239" s="192" customFormat="1" ht="30" customHeight="1">
      <c r="A61" s="4" t="s">
        <v>750</v>
      </c>
      <c r="B61" s="252" t="s">
        <v>700</v>
      </c>
      <c r="C61" s="246"/>
      <c r="D61" s="168"/>
      <c r="E61" s="223"/>
      <c r="F61" s="224"/>
      <c r="G61" s="69">
        <f aca="true" t="shared" si="12" ref="G61:X61">G62+G65+G66+G73</f>
        <v>275719.251</v>
      </c>
      <c r="H61" s="69">
        <f t="shared" si="12"/>
        <v>44564.5</v>
      </c>
      <c r="I61" s="69">
        <f t="shared" si="12"/>
        <v>0</v>
      </c>
      <c r="J61" s="69">
        <f t="shared" si="12"/>
        <v>0</v>
      </c>
      <c r="K61" s="69">
        <f t="shared" si="12"/>
        <v>0</v>
      </c>
      <c r="L61" s="69">
        <f t="shared" si="12"/>
        <v>0</v>
      </c>
      <c r="M61" s="69">
        <f t="shared" si="12"/>
        <v>0</v>
      </c>
      <c r="N61" s="69">
        <f t="shared" si="12"/>
        <v>32921.69</v>
      </c>
      <c r="O61" s="69">
        <f t="shared" si="12"/>
        <v>3673</v>
      </c>
      <c r="P61" s="69">
        <f t="shared" si="12"/>
        <v>3306</v>
      </c>
      <c r="Q61" s="69">
        <f t="shared" si="12"/>
        <v>0</v>
      </c>
      <c r="R61" s="69">
        <f t="shared" si="12"/>
        <v>0</v>
      </c>
      <c r="S61" s="69">
        <f t="shared" si="12"/>
        <v>0</v>
      </c>
      <c r="T61" s="69">
        <f t="shared" si="12"/>
        <v>37585.5</v>
      </c>
      <c r="U61" s="69">
        <f t="shared" si="12"/>
        <v>37585.5</v>
      </c>
      <c r="V61" s="69">
        <f t="shared" si="12"/>
        <v>5500</v>
      </c>
      <c r="W61" s="69">
        <f t="shared" si="12"/>
        <v>13706</v>
      </c>
      <c r="X61" s="190">
        <f t="shared" si="12"/>
        <v>5500</v>
      </c>
      <c r="Y61" s="190"/>
      <c r="Z61" s="174"/>
      <c r="AA61" s="191"/>
      <c r="AB61" s="177"/>
      <c r="AC61" s="174"/>
      <c r="AD61" s="176"/>
      <c r="AE61" s="176"/>
      <c r="AF61" s="176"/>
      <c r="AG61" s="178"/>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c r="FV61" s="169"/>
      <c r="FW61" s="169"/>
      <c r="FX61" s="169"/>
      <c r="FY61" s="169"/>
      <c r="FZ61" s="169"/>
      <c r="GA61" s="169"/>
      <c r="GB61" s="169"/>
      <c r="GC61" s="169"/>
      <c r="GD61" s="169"/>
      <c r="GE61" s="169"/>
      <c r="GF61" s="169"/>
      <c r="GG61" s="169"/>
      <c r="GH61" s="169"/>
      <c r="GI61" s="169"/>
      <c r="GJ61" s="169"/>
      <c r="GK61" s="169"/>
      <c r="GL61" s="169"/>
      <c r="GM61" s="169"/>
      <c r="GN61" s="169"/>
      <c r="GO61" s="169"/>
      <c r="GP61" s="169"/>
      <c r="GQ61" s="169"/>
      <c r="GR61" s="169"/>
      <c r="GS61" s="169"/>
      <c r="GT61" s="169"/>
      <c r="GU61" s="169"/>
      <c r="GV61" s="169"/>
      <c r="GW61" s="169"/>
      <c r="GX61" s="169"/>
      <c r="GY61" s="169"/>
      <c r="GZ61" s="169"/>
      <c r="HA61" s="169"/>
      <c r="HB61" s="169"/>
      <c r="HC61" s="169"/>
      <c r="HD61" s="169"/>
      <c r="HE61" s="169"/>
      <c r="HF61" s="169"/>
      <c r="HG61" s="169"/>
      <c r="HH61" s="169"/>
      <c r="HI61" s="169"/>
      <c r="HJ61" s="169"/>
      <c r="HK61" s="169"/>
      <c r="HL61" s="169"/>
      <c r="HM61" s="169"/>
      <c r="HN61" s="169"/>
      <c r="HO61" s="169"/>
      <c r="HP61" s="169"/>
      <c r="HQ61" s="169"/>
      <c r="HR61" s="169"/>
      <c r="HS61" s="169"/>
      <c r="HT61" s="169"/>
      <c r="HU61" s="169"/>
      <c r="HV61" s="169"/>
      <c r="HW61" s="169"/>
      <c r="HX61" s="169"/>
      <c r="HY61" s="169"/>
      <c r="HZ61" s="169"/>
      <c r="IA61" s="169"/>
      <c r="IB61" s="169"/>
      <c r="IC61" s="169"/>
      <c r="ID61" s="169"/>
      <c r="IE61" s="169"/>
    </row>
    <row r="62" spans="1:239" s="192" customFormat="1" ht="22.5" customHeight="1">
      <c r="A62" s="174" t="s">
        <v>41</v>
      </c>
      <c r="B62" s="252" t="s">
        <v>701</v>
      </c>
      <c r="C62" s="246"/>
      <c r="D62" s="168"/>
      <c r="E62" s="223"/>
      <c r="F62" s="224"/>
      <c r="G62" s="69">
        <f>G63+G64</f>
        <v>114219</v>
      </c>
      <c r="H62" s="69">
        <f aca="true" t="shared" si="13" ref="H62:X62">H63+H64</f>
        <v>18127</v>
      </c>
      <c r="I62" s="69">
        <f t="shared" si="13"/>
        <v>0</v>
      </c>
      <c r="J62" s="69">
        <f t="shared" si="13"/>
        <v>0</v>
      </c>
      <c r="K62" s="69">
        <f t="shared" si="13"/>
        <v>0</v>
      </c>
      <c r="L62" s="69">
        <f t="shared" si="13"/>
        <v>0</v>
      </c>
      <c r="M62" s="69">
        <f t="shared" si="13"/>
        <v>0</v>
      </c>
      <c r="N62" s="69">
        <f t="shared" si="13"/>
        <v>6558</v>
      </c>
      <c r="O62" s="69">
        <f t="shared" si="13"/>
        <v>1410</v>
      </c>
      <c r="P62" s="69">
        <f t="shared" si="13"/>
        <v>2306</v>
      </c>
      <c r="Q62" s="69">
        <f t="shared" si="13"/>
        <v>0</v>
      </c>
      <c r="R62" s="69">
        <f t="shared" si="13"/>
        <v>0</v>
      </c>
      <c r="S62" s="69">
        <f t="shared" si="13"/>
        <v>0</v>
      </c>
      <c r="T62" s="69">
        <f t="shared" si="13"/>
        <v>14411</v>
      </c>
      <c r="U62" s="69">
        <f t="shared" si="13"/>
        <v>14411</v>
      </c>
      <c r="V62" s="69">
        <f t="shared" si="13"/>
        <v>5500</v>
      </c>
      <c r="W62" s="69">
        <f>W63+W64</f>
        <v>5500</v>
      </c>
      <c r="X62" s="190">
        <f t="shared" si="13"/>
        <v>5500</v>
      </c>
      <c r="Y62" s="190"/>
      <c r="Z62" s="174"/>
      <c r="AA62" s="191"/>
      <c r="AB62" s="177"/>
      <c r="AC62" s="174"/>
      <c r="AD62" s="176"/>
      <c r="AE62" s="176"/>
      <c r="AF62" s="176"/>
      <c r="AG62" s="178"/>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c r="HZ62" s="169"/>
      <c r="IA62" s="169"/>
      <c r="IB62" s="169"/>
      <c r="IC62" s="169"/>
      <c r="ID62" s="169"/>
      <c r="IE62" s="169"/>
    </row>
    <row r="63" spans="1:239" ht="39" customHeight="1">
      <c r="A63" s="12">
        <v>1</v>
      </c>
      <c r="B63" s="181" t="s">
        <v>702</v>
      </c>
      <c r="C63" s="12" t="s">
        <v>703</v>
      </c>
      <c r="D63" s="25"/>
      <c r="E63" s="25" t="s">
        <v>704</v>
      </c>
      <c r="F63" s="12" t="s">
        <v>705</v>
      </c>
      <c r="G63" s="71">
        <v>55878</v>
      </c>
      <c r="H63" s="71">
        <v>7132</v>
      </c>
      <c r="I63" s="71"/>
      <c r="J63" s="71"/>
      <c r="K63" s="71"/>
      <c r="L63" s="71"/>
      <c r="M63" s="71"/>
      <c r="N63" s="71">
        <v>3642</v>
      </c>
      <c r="O63" s="71">
        <v>948</v>
      </c>
      <c r="P63" s="71">
        <v>1666</v>
      </c>
      <c r="Q63" s="71"/>
      <c r="R63" s="71"/>
      <c r="S63" s="71"/>
      <c r="T63" s="71">
        <f>U63</f>
        <v>4518</v>
      </c>
      <c r="U63" s="71">
        <f>+H63-O63-P63</f>
        <v>4518</v>
      </c>
      <c r="V63" s="71">
        <v>2500</v>
      </c>
      <c r="W63" s="71">
        <v>2500</v>
      </c>
      <c r="X63" s="215">
        <f>W63</f>
        <v>2500</v>
      </c>
      <c r="Y63" s="215"/>
      <c r="Z63" s="12" t="s">
        <v>688</v>
      </c>
      <c r="AA63" s="172"/>
      <c r="AB63" s="177"/>
      <c r="AC63" s="12"/>
      <c r="AD63" s="17"/>
      <c r="AE63" s="17"/>
      <c r="AF63" s="17"/>
      <c r="AG63" s="23"/>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c r="HT63" s="31"/>
      <c r="HU63" s="31"/>
      <c r="HV63" s="31"/>
      <c r="HW63" s="31"/>
      <c r="HX63" s="31"/>
      <c r="HY63" s="31"/>
      <c r="HZ63" s="31"/>
      <c r="IA63" s="31"/>
      <c r="IB63" s="31"/>
      <c r="IC63" s="31"/>
      <c r="ID63" s="31"/>
      <c r="IE63" s="31"/>
    </row>
    <row r="64" spans="1:239" ht="35.25" customHeight="1">
      <c r="A64" s="12">
        <v>2</v>
      </c>
      <c r="B64" s="181" t="s">
        <v>706</v>
      </c>
      <c r="C64" s="12" t="s">
        <v>707</v>
      </c>
      <c r="D64" s="25"/>
      <c r="E64" s="12" t="s">
        <v>708</v>
      </c>
      <c r="F64" s="12" t="s">
        <v>709</v>
      </c>
      <c r="G64" s="71">
        <v>58341</v>
      </c>
      <c r="H64" s="71">
        <v>10995</v>
      </c>
      <c r="I64" s="71"/>
      <c r="J64" s="71"/>
      <c r="K64" s="71"/>
      <c r="L64" s="71"/>
      <c r="M64" s="71"/>
      <c r="N64" s="71">
        <v>2916</v>
      </c>
      <c r="O64" s="71">
        <v>462</v>
      </c>
      <c r="P64" s="71">
        <v>640</v>
      </c>
      <c r="Q64" s="71"/>
      <c r="R64" s="71"/>
      <c r="S64" s="71"/>
      <c r="T64" s="71">
        <f>U64</f>
        <v>9893</v>
      </c>
      <c r="U64" s="71">
        <f>+H64-O64-P64</f>
        <v>9893</v>
      </c>
      <c r="V64" s="71">
        <v>3000</v>
      </c>
      <c r="W64" s="71">
        <f>3000</f>
        <v>3000</v>
      </c>
      <c r="X64" s="215">
        <f>W64</f>
        <v>3000</v>
      </c>
      <c r="Y64" s="215"/>
      <c r="Z64" s="12" t="s">
        <v>688</v>
      </c>
      <c r="AA64" s="172"/>
      <c r="AB64" s="177"/>
      <c r="AC64" s="12"/>
      <c r="AD64" s="17"/>
      <c r="AE64" s="17"/>
      <c r="AF64" s="17"/>
      <c r="AG64" s="23"/>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row>
    <row r="65" spans="1:239" s="192" customFormat="1" ht="25.5">
      <c r="A65" s="45" t="s">
        <v>43</v>
      </c>
      <c r="B65" s="253" t="s">
        <v>710</v>
      </c>
      <c r="C65" s="246"/>
      <c r="D65" s="168"/>
      <c r="E65" s="539" t="s">
        <v>711</v>
      </c>
      <c r="F65" s="540" t="s">
        <v>712</v>
      </c>
      <c r="G65" s="69">
        <v>107725.251</v>
      </c>
      <c r="H65" s="69">
        <v>8000</v>
      </c>
      <c r="I65" s="69"/>
      <c r="J65" s="69"/>
      <c r="K65" s="69"/>
      <c r="L65" s="69"/>
      <c r="M65" s="69"/>
      <c r="N65" s="69">
        <v>26363.69</v>
      </c>
      <c r="O65" s="69">
        <v>2263</v>
      </c>
      <c r="P65" s="69">
        <v>1000</v>
      </c>
      <c r="Q65" s="69"/>
      <c r="R65" s="69"/>
      <c r="S65" s="69"/>
      <c r="T65" s="69">
        <f>U65+V65</f>
        <v>4737</v>
      </c>
      <c r="U65" s="69">
        <f>+H65-O65-P65</f>
        <v>4737</v>
      </c>
      <c r="V65" s="69"/>
      <c r="W65" s="69">
        <v>1000</v>
      </c>
      <c r="X65" s="190"/>
      <c r="Y65" s="190"/>
      <c r="Z65" s="174"/>
      <c r="AA65" s="191"/>
      <c r="AB65" s="177"/>
      <c r="AC65" s="174"/>
      <c r="AD65" s="176"/>
      <c r="AE65" s="176"/>
      <c r="AF65" s="176"/>
      <c r="AG65" s="178"/>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c r="GJ65" s="169"/>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c r="HZ65" s="169"/>
      <c r="IA65" s="169"/>
      <c r="IB65" s="169"/>
      <c r="IC65" s="169"/>
      <c r="ID65" s="169"/>
      <c r="IE65" s="169"/>
    </row>
    <row r="66" spans="1:239" s="192" customFormat="1" ht="25.5">
      <c r="A66" s="174" t="s">
        <v>44</v>
      </c>
      <c r="B66" s="255" t="s">
        <v>713</v>
      </c>
      <c r="C66" s="246"/>
      <c r="D66" s="168"/>
      <c r="E66" s="223"/>
      <c r="F66" s="224"/>
      <c r="G66" s="69">
        <f>SUM(G67:G72)</f>
        <v>38825</v>
      </c>
      <c r="H66" s="69">
        <f aca="true" t="shared" si="14" ref="H66:X66">SUM(H67:H72)</f>
        <v>14130.300000000001</v>
      </c>
      <c r="I66" s="69">
        <f t="shared" si="14"/>
        <v>0</v>
      </c>
      <c r="J66" s="69">
        <f t="shared" si="14"/>
        <v>0</v>
      </c>
      <c r="K66" s="69">
        <f t="shared" si="14"/>
        <v>0</v>
      </c>
      <c r="L66" s="69">
        <f t="shared" si="14"/>
        <v>0</v>
      </c>
      <c r="M66" s="69">
        <f t="shared" si="14"/>
        <v>0</v>
      </c>
      <c r="N66" s="69">
        <f t="shared" si="14"/>
        <v>0</v>
      </c>
      <c r="O66" s="69">
        <f t="shared" si="14"/>
        <v>0</v>
      </c>
      <c r="P66" s="69">
        <f t="shared" si="14"/>
        <v>0</v>
      </c>
      <c r="Q66" s="69">
        <f t="shared" si="14"/>
        <v>0</v>
      </c>
      <c r="R66" s="69">
        <f t="shared" si="14"/>
        <v>0</v>
      </c>
      <c r="S66" s="69">
        <f t="shared" si="14"/>
        <v>0</v>
      </c>
      <c r="T66" s="69">
        <f t="shared" si="14"/>
        <v>14130.300000000001</v>
      </c>
      <c r="U66" s="69">
        <f t="shared" si="14"/>
        <v>14130.300000000001</v>
      </c>
      <c r="V66" s="69">
        <f t="shared" si="14"/>
        <v>0</v>
      </c>
      <c r="W66" s="69">
        <f>SUM(W67:W72)</f>
        <v>5706</v>
      </c>
      <c r="X66" s="190">
        <f t="shared" si="14"/>
        <v>0</v>
      </c>
      <c r="Y66" s="190"/>
      <c r="Z66" s="174"/>
      <c r="AA66" s="191"/>
      <c r="AB66" s="177"/>
      <c r="AC66" s="174"/>
      <c r="AD66" s="176"/>
      <c r="AE66" s="176"/>
      <c r="AF66" s="176"/>
      <c r="AG66" s="178"/>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c r="FP66" s="169"/>
      <c r="FQ66" s="169"/>
      <c r="FR66" s="169"/>
      <c r="FS66" s="169"/>
      <c r="FT66" s="169"/>
      <c r="FU66" s="169"/>
      <c r="FV66" s="169"/>
      <c r="FW66" s="169"/>
      <c r="FX66" s="169"/>
      <c r="FY66" s="169"/>
      <c r="FZ66" s="169"/>
      <c r="GA66" s="169"/>
      <c r="GB66" s="169"/>
      <c r="GC66" s="169"/>
      <c r="GD66" s="169"/>
      <c r="GE66" s="169"/>
      <c r="GF66" s="169"/>
      <c r="GG66" s="169"/>
      <c r="GH66" s="169"/>
      <c r="GI66" s="169"/>
      <c r="GJ66" s="169"/>
      <c r="GK66" s="169"/>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9"/>
      <c r="HO66" s="169"/>
      <c r="HP66" s="169"/>
      <c r="HQ66" s="169"/>
      <c r="HR66" s="169"/>
      <c r="HS66" s="169"/>
      <c r="HT66" s="169"/>
      <c r="HU66" s="169"/>
      <c r="HV66" s="169"/>
      <c r="HW66" s="169"/>
      <c r="HX66" s="169"/>
      <c r="HY66" s="169"/>
      <c r="HZ66" s="169"/>
      <c r="IA66" s="169"/>
      <c r="IB66" s="169"/>
      <c r="IC66" s="169"/>
      <c r="ID66" s="169"/>
      <c r="IE66" s="169"/>
    </row>
    <row r="67" spans="1:239" ht="25.5">
      <c r="A67" s="13">
        <v>1</v>
      </c>
      <c r="B67" s="418" t="s">
        <v>714</v>
      </c>
      <c r="C67" s="254" t="s">
        <v>985</v>
      </c>
      <c r="D67" s="25"/>
      <c r="E67" s="227" t="s">
        <v>304</v>
      </c>
      <c r="F67" s="227" t="s">
        <v>774</v>
      </c>
      <c r="G67" s="71">
        <v>2400</v>
      </c>
      <c r="H67" s="71">
        <v>600.8</v>
      </c>
      <c r="I67" s="71"/>
      <c r="J67" s="71"/>
      <c r="K67" s="71"/>
      <c r="L67" s="71"/>
      <c r="M67" s="71"/>
      <c r="N67" s="71"/>
      <c r="O67" s="71"/>
      <c r="P67" s="71"/>
      <c r="Q67" s="71"/>
      <c r="R67" s="71"/>
      <c r="S67" s="71"/>
      <c r="T67" s="71">
        <f aca="true" t="shared" si="15" ref="T67:T72">U67+V67</f>
        <v>600.8</v>
      </c>
      <c r="U67" s="71">
        <f aca="true" t="shared" si="16" ref="U67:U72">H67</f>
        <v>600.8</v>
      </c>
      <c r="V67" s="71"/>
      <c r="W67" s="71">
        <v>300</v>
      </c>
      <c r="X67" s="215"/>
      <c r="Y67" s="215"/>
      <c r="Z67" s="12"/>
      <c r="AA67" s="172"/>
      <c r="AB67" s="177"/>
      <c r="AC67" s="12"/>
      <c r="AD67" s="17"/>
      <c r="AE67" s="17"/>
      <c r="AF67" s="17"/>
      <c r="AG67" s="23"/>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row>
    <row r="68" spans="1:239" ht="25.5">
      <c r="A68" s="13">
        <v>2</v>
      </c>
      <c r="B68" s="418" t="s">
        <v>715</v>
      </c>
      <c r="C68" s="254" t="s">
        <v>716</v>
      </c>
      <c r="D68" s="25"/>
      <c r="E68" s="227" t="s">
        <v>304</v>
      </c>
      <c r="F68" s="227" t="s">
        <v>775</v>
      </c>
      <c r="G68" s="71">
        <v>8600</v>
      </c>
      <c r="H68" s="71">
        <v>2430.2</v>
      </c>
      <c r="I68" s="71"/>
      <c r="J68" s="71"/>
      <c r="K68" s="71"/>
      <c r="L68" s="71"/>
      <c r="M68" s="71"/>
      <c r="N68" s="71"/>
      <c r="O68" s="71"/>
      <c r="P68" s="71"/>
      <c r="Q68" s="71"/>
      <c r="R68" s="71"/>
      <c r="S68" s="71"/>
      <c r="T68" s="71">
        <f t="shared" si="15"/>
        <v>2430.2</v>
      </c>
      <c r="U68" s="71">
        <f t="shared" si="16"/>
        <v>2430.2</v>
      </c>
      <c r="V68" s="71"/>
      <c r="W68" s="71">
        <v>1356</v>
      </c>
      <c r="X68" s="215"/>
      <c r="Y68" s="215"/>
      <c r="Z68" s="12"/>
      <c r="AA68" s="680" t="s">
        <v>776</v>
      </c>
      <c r="AB68" s="681"/>
      <c r="AC68" s="682"/>
      <c r="AD68" s="17"/>
      <c r="AE68" s="17"/>
      <c r="AF68" s="17"/>
      <c r="AG68" s="23"/>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row>
    <row r="69" spans="1:239" ht="25.5">
      <c r="A69" s="13">
        <v>3</v>
      </c>
      <c r="B69" s="418" t="s">
        <v>717</v>
      </c>
      <c r="C69" s="254" t="s">
        <v>984</v>
      </c>
      <c r="D69" s="25"/>
      <c r="E69" s="227" t="s">
        <v>304</v>
      </c>
      <c r="F69" s="227" t="s">
        <v>778</v>
      </c>
      <c r="G69" s="71">
        <v>2850</v>
      </c>
      <c r="H69" s="71">
        <v>984.9000000000001</v>
      </c>
      <c r="I69" s="71"/>
      <c r="J69" s="71"/>
      <c r="K69" s="71"/>
      <c r="L69" s="71"/>
      <c r="M69" s="71"/>
      <c r="N69" s="71"/>
      <c r="O69" s="71"/>
      <c r="P69" s="71"/>
      <c r="Q69" s="71"/>
      <c r="R69" s="71"/>
      <c r="S69" s="71"/>
      <c r="T69" s="71">
        <f t="shared" si="15"/>
        <v>984.9000000000001</v>
      </c>
      <c r="U69" s="71">
        <f t="shared" si="16"/>
        <v>984.9000000000001</v>
      </c>
      <c r="V69" s="71"/>
      <c r="W69" s="71"/>
      <c r="X69" s="215"/>
      <c r="Y69" s="215"/>
      <c r="Z69" s="12"/>
      <c r="AA69" s="172"/>
      <c r="AB69" s="177"/>
      <c r="AC69" s="12"/>
      <c r="AD69" s="17"/>
      <c r="AE69" s="17"/>
      <c r="AF69" s="17"/>
      <c r="AG69" s="23"/>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row>
    <row r="70" spans="1:239" ht="25.5">
      <c r="A70" s="13">
        <v>3</v>
      </c>
      <c r="B70" s="418" t="s">
        <v>718</v>
      </c>
      <c r="C70" s="254" t="s">
        <v>779</v>
      </c>
      <c r="D70" s="25"/>
      <c r="E70" s="227" t="s">
        <v>304</v>
      </c>
      <c r="F70" s="227" t="s">
        <v>780</v>
      </c>
      <c r="G70" s="71">
        <v>7475</v>
      </c>
      <c r="H70" s="71">
        <v>2488.3</v>
      </c>
      <c r="I70" s="71"/>
      <c r="J70" s="71"/>
      <c r="K70" s="71"/>
      <c r="L70" s="71"/>
      <c r="M70" s="71"/>
      <c r="N70" s="71"/>
      <c r="O70" s="71"/>
      <c r="P70" s="71"/>
      <c r="Q70" s="71"/>
      <c r="R70" s="71"/>
      <c r="S70" s="71"/>
      <c r="T70" s="71">
        <f t="shared" si="15"/>
        <v>2488.3</v>
      </c>
      <c r="U70" s="71">
        <f t="shared" si="16"/>
        <v>2488.3</v>
      </c>
      <c r="V70" s="71"/>
      <c r="W70" s="71">
        <v>1250</v>
      </c>
      <c r="X70" s="215"/>
      <c r="Y70" s="215"/>
      <c r="Z70" s="12"/>
      <c r="AA70" s="172"/>
      <c r="AB70" s="177"/>
      <c r="AC70" s="12"/>
      <c r="AD70" s="17"/>
      <c r="AE70" s="17"/>
      <c r="AF70" s="17"/>
      <c r="AG70" s="23"/>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row>
    <row r="71" spans="1:239" ht="25.5">
      <c r="A71" s="13">
        <v>4</v>
      </c>
      <c r="B71" s="418" t="s">
        <v>720</v>
      </c>
      <c r="C71" s="254" t="s">
        <v>783</v>
      </c>
      <c r="D71" s="25"/>
      <c r="E71" s="227" t="s">
        <v>304</v>
      </c>
      <c r="F71" s="227" t="s">
        <v>784</v>
      </c>
      <c r="G71" s="71">
        <v>5400</v>
      </c>
      <c r="H71" s="71">
        <v>1540.1</v>
      </c>
      <c r="I71" s="71"/>
      <c r="J71" s="71"/>
      <c r="K71" s="71"/>
      <c r="L71" s="71"/>
      <c r="M71" s="71"/>
      <c r="N71" s="71"/>
      <c r="O71" s="71"/>
      <c r="P71" s="71"/>
      <c r="Q71" s="71"/>
      <c r="R71" s="71"/>
      <c r="S71" s="71"/>
      <c r="T71" s="71">
        <f t="shared" si="15"/>
        <v>1540.1</v>
      </c>
      <c r="U71" s="71">
        <f t="shared" si="16"/>
        <v>1540.1</v>
      </c>
      <c r="V71" s="71"/>
      <c r="W71" s="71">
        <v>800</v>
      </c>
      <c r="X71" s="215"/>
      <c r="Y71" s="215"/>
      <c r="Z71" s="12"/>
      <c r="AA71" s="172"/>
      <c r="AB71" s="177"/>
      <c r="AC71" s="12"/>
      <c r="AD71" s="17"/>
      <c r="AE71" s="17"/>
      <c r="AF71" s="17"/>
      <c r="AG71" s="23"/>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row>
    <row r="72" spans="1:239" ht="25.5">
      <c r="A72" s="13">
        <v>7</v>
      </c>
      <c r="B72" s="418" t="s">
        <v>721</v>
      </c>
      <c r="C72" s="254" t="s">
        <v>785</v>
      </c>
      <c r="D72" s="25"/>
      <c r="E72" s="227" t="s">
        <v>304</v>
      </c>
      <c r="F72" s="227" t="s">
        <v>786</v>
      </c>
      <c r="G72" s="71">
        <v>12100</v>
      </c>
      <c r="H72" s="71">
        <v>6086</v>
      </c>
      <c r="I72" s="71"/>
      <c r="J72" s="71"/>
      <c r="K72" s="71"/>
      <c r="L72" s="71"/>
      <c r="M72" s="71"/>
      <c r="N72" s="71"/>
      <c r="O72" s="71"/>
      <c r="P72" s="71"/>
      <c r="Q72" s="71"/>
      <c r="R72" s="71"/>
      <c r="S72" s="71"/>
      <c r="T72" s="71">
        <f t="shared" si="15"/>
        <v>6086</v>
      </c>
      <c r="U72" s="71">
        <f t="shared" si="16"/>
        <v>6086</v>
      </c>
      <c r="V72" s="71"/>
      <c r="W72" s="71">
        <v>2000</v>
      </c>
      <c r="X72" s="215"/>
      <c r="Y72" s="215"/>
      <c r="Z72" s="12"/>
      <c r="AA72" s="172"/>
      <c r="AB72" s="177"/>
      <c r="AC72" s="12"/>
      <c r="AD72" s="17"/>
      <c r="AE72" s="17"/>
      <c r="AF72" s="17"/>
      <c r="AG72" s="23"/>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row>
    <row r="73" spans="1:239" s="192" customFormat="1" ht="25.5">
      <c r="A73" s="174" t="s">
        <v>45</v>
      </c>
      <c r="B73" s="255" t="s">
        <v>722</v>
      </c>
      <c r="C73" s="222"/>
      <c r="D73" s="168"/>
      <c r="E73" s="223"/>
      <c r="F73" s="224"/>
      <c r="G73" s="69">
        <f aca="true" t="shared" si="17" ref="G73:X73">SUM(G74:G74)</f>
        <v>14950</v>
      </c>
      <c r="H73" s="69">
        <f t="shared" si="17"/>
        <v>4307.200000000001</v>
      </c>
      <c r="I73" s="69">
        <f t="shared" si="17"/>
        <v>0</v>
      </c>
      <c r="J73" s="69">
        <f t="shared" si="17"/>
        <v>0</v>
      </c>
      <c r="K73" s="69">
        <f t="shared" si="17"/>
        <v>0</v>
      </c>
      <c r="L73" s="69">
        <f t="shared" si="17"/>
        <v>0</v>
      </c>
      <c r="M73" s="69">
        <f t="shared" si="17"/>
        <v>0</v>
      </c>
      <c r="N73" s="69">
        <f t="shared" si="17"/>
        <v>0</v>
      </c>
      <c r="O73" s="69">
        <f t="shared" si="17"/>
        <v>0</v>
      </c>
      <c r="P73" s="69">
        <f t="shared" si="17"/>
        <v>0</v>
      </c>
      <c r="Q73" s="69">
        <f t="shared" si="17"/>
        <v>0</v>
      </c>
      <c r="R73" s="69">
        <f t="shared" si="17"/>
        <v>0</v>
      </c>
      <c r="S73" s="69">
        <f t="shared" si="17"/>
        <v>0</v>
      </c>
      <c r="T73" s="69">
        <f t="shared" si="17"/>
        <v>4307.200000000001</v>
      </c>
      <c r="U73" s="69">
        <f t="shared" si="17"/>
        <v>4307.200000000001</v>
      </c>
      <c r="V73" s="69">
        <f t="shared" si="17"/>
        <v>0</v>
      </c>
      <c r="W73" s="69">
        <f t="shared" si="17"/>
        <v>1500</v>
      </c>
      <c r="X73" s="190">
        <f t="shared" si="17"/>
        <v>0</v>
      </c>
      <c r="Y73" s="190"/>
      <c r="Z73" s="174"/>
      <c r="AA73" s="191"/>
      <c r="AB73" s="177"/>
      <c r="AC73" s="174"/>
      <c r="AD73" s="176"/>
      <c r="AE73" s="176"/>
      <c r="AF73" s="176"/>
      <c r="AG73" s="178"/>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c r="GJ73" s="169"/>
      <c r="GK73" s="169"/>
      <c r="GL73" s="169"/>
      <c r="GM73" s="169"/>
      <c r="GN73" s="169"/>
      <c r="GO73" s="169"/>
      <c r="GP73" s="169"/>
      <c r="GQ73" s="169"/>
      <c r="GR73" s="169"/>
      <c r="GS73" s="169"/>
      <c r="GT73" s="169"/>
      <c r="GU73" s="169"/>
      <c r="GV73" s="169"/>
      <c r="GW73" s="169"/>
      <c r="GX73" s="169"/>
      <c r="GY73" s="169"/>
      <c r="GZ73" s="169"/>
      <c r="HA73" s="169"/>
      <c r="HB73" s="169"/>
      <c r="HC73" s="169"/>
      <c r="HD73" s="169"/>
      <c r="HE73" s="169"/>
      <c r="HF73" s="169"/>
      <c r="HG73" s="169"/>
      <c r="HH73" s="169"/>
      <c r="HI73" s="169"/>
      <c r="HJ73" s="169"/>
      <c r="HK73" s="169"/>
      <c r="HL73" s="169"/>
      <c r="HM73" s="169"/>
      <c r="HN73" s="169"/>
      <c r="HO73" s="169"/>
      <c r="HP73" s="169"/>
      <c r="HQ73" s="169"/>
      <c r="HR73" s="169"/>
      <c r="HS73" s="169"/>
      <c r="HT73" s="169"/>
      <c r="HU73" s="169"/>
      <c r="HV73" s="169"/>
      <c r="HW73" s="169"/>
      <c r="HX73" s="169"/>
      <c r="HY73" s="169"/>
      <c r="HZ73" s="169"/>
      <c r="IA73" s="169"/>
      <c r="IB73" s="169"/>
      <c r="IC73" s="169"/>
      <c r="ID73" s="169"/>
      <c r="IE73" s="169"/>
    </row>
    <row r="74" spans="1:239" ht="33.75" customHeight="1">
      <c r="A74" s="75">
        <v>1</v>
      </c>
      <c r="B74" s="256" t="s">
        <v>723</v>
      </c>
      <c r="C74" s="254" t="s">
        <v>785</v>
      </c>
      <c r="D74" s="25"/>
      <c r="E74" s="186" t="s">
        <v>246</v>
      </c>
      <c r="F74" s="227" t="s">
        <v>787</v>
      </c>
      <c r="G74" s="71">
        <v>14950</v>
      </c>
      <c r="H74" s="71">
        <v>4307.200000000001</v>
      </c>
      <c r="I74" s="71"/>
      <c r="J74" s="71"/>
      <c r="K74" s="71"/>
      <c r="L74" s="71"/>
      <c r="M74" s="71"/>
      <c r="N74" s="71"/>
      <c r="O74" s="71"/>
      <c r="P74" s="71">
        <v>0</v>
      </c>
      <c r="Q74" s="71"/>
      <c r="R74" s="71"/>
      <c r="S74" s="71"/>
      <c r="T74" s="71">
        <f>U74+V74</f>
        <v>4307.200000000001</v>
      </c>
      <c r="U74" s="71">
        <f>H74-P74</f>
        <v>4307.200000000001</v>
      </c>
      <c r="V74" s="71"/>
      <c r="W74" s="71">
        <v>1500</v>
      </c>
      <c r="X74" s="215"/>
      <c r="Y74" s="215"/>
      <c r="Z74" s="12"/>
      <c r="AA74" s="680" t="s">
        <v>788</v>
      </c>
      <c r="AB74" s="681"/>
      <c r="AC74" s="682"/>
      <c r="AD74" s="17"/>
      <c r="AE74" s="17"/>
      <c r="AF74" s="17"/>
      <c r="AG74" s="23"/>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row>
    <row r="75" spans="1:33" s="41" customFormat="1" ht="12.75">
      <c r="A75" s="49"/>
      <c r="B75" s="50"/>
      <c r="C75" s="51"/>
      <c r="D75" s="52"/>
      <c r="E75" s="52"/>
      <c r="F75" s="52"/>
      <c r="T75" s="53"/>
      <c r="U75" s="53"/>
      <c r="V75" s="53"/>
      <c r="W75" s="53"/>
      <c r="X75" s="53"/>
      <c r="Y75" s="53"/>
      <c r="Z75" s="51"/>
      <c r="AA75" s="51"/>
      <c r="AB75" s="51"/>
      <c r="AC75" s="54"/>
      <c r="AD75" s="54"/>
      <c r="AE75" s="54"/>
      <c r="AF75" s="54"/>
      <c r="AG75" s="54"/>
    </row>
    <row r="76" spans="1:33" s="41" customFormat="1" ht="12.75">
      <c r="A76" s="49"/>
      <c r="B76" s="50"/>
      <c r="C76" s="51"/>
      <c r="D76" s="52"/>
      <c r="E76" s="52"/>
      <c r="F76" s="52"/>
      <c r="T76" s="53"/>
      <c r="U76" s="53"/>
      <c r="V76" s="53"/>
      <c r="W76" s="53"/>
      <c r="X76" s="53"/>
      <c r="Y76" s="53"/>
      <c r="Z76" s="51"/>
      <c r="AA76" s="51"/>
      <c r="AB76" s="51"/>
      <c r="AC76" s="54"/>
      <c r="AD76" s="54"/>
      <c r="AE76" s="54"/>
      <c r="AF76" s="54"/>
      <c r="AG76" s="54"/>
    </row>
    <row r="77" spans="1:33" s="41" customFormat="1" ht="12.75">
      <c r="A77" s="49"/>
      <c r="B77" s="50"/>
      <c r="C77" s="51"/>
      <c r="D77" s="52"/>
      <c r="E77" s="52"/>
      <c r="F77" s="52"/>
      <c r="T77" s="53"/>
      <c r="U77" s="53"/>
      <c r="V77" s="53"/>
      <c r="W77" s="53"/>
      <c r="X77" s="53"/>
      <c r="Y77" s="53"/>
      <c r="Z77" s="51"/>
      <c r="AA77" s="51"/>
      <c r="AB77" s="51"/>
      <c r="AC77" s="54"/>
      <c r="AD77" s="54"/>
      <c r="AE77" s="54"/>
      <c r="AF77" s="54"/>
      <c r="AG77" s="54"/>
    </row>
    <row r="78" spans="1:33" s="41" customFormat="1" ht="12.75">
      <c r="A78" s="49"/>
      <c r="B78" s="50"/>
      <c r="C78" s="51"/>
      <c r="D78" s="52"/>
      <c r="E78" s="52"/>
      <c r="F78" s="52"/>
      <c r="T78" s="53"/>
      <c r="U78" s="53"/>
      <c r="V78" s="53"/>
      <c r="W78" s="53"/>
      <c r="X78" s="53"/>
      <c r="Y78" s="53"/>
      <c r="Z78" s="51"/>
      <c r="AA78" s="51"/>
      <c r="AB78" s="51"/>
      <c r="AC78" s="54"/>
      <c r="AD78" s="54"/>
      <c r="AE78" s="54"/>
      <c r="AF78" s="54"/>
      <c r="AG78" s="54"/>
    </row>
    <row r="79" spans="1:33" s="41" customFormat="1" ht="12.75">
      <c r="A79" s="49"/>
      <c r="B79" s="50"/>
      <c r="C79" s="51"/>
      <c r="D79" s="52"/>
      <c r="E79" s="52"/>
      <c r="F79" s="52"/>
      <c r="T79" s="53"/>
      <c r="U79" s="53"/>
      <c r="V79" s="53"/>
      <c r="W79" s="53"/>
      <c r="X79" s="53"/>
      <c r="Y79" s="53"/>
      <c r="Z79" s="51"/>
      <c r="AA79" s="51"/>
      <c r="AB79" s="51"/>
      <c r="AC79" s="54"/>
      <c r="AD79" s="54"/>
      <c r="AE79" s="54"/>
      <c r="AF79" s="54"/>
      <c r="AG79" s="54"/>
    </row>
    <row r="80" spans="1:33" s="41" customFormat="1" ht="12.75">
      <c r="A80" s="49"/>
      <c r="B80" s="50"/>
      <c r="C80" s="51"/>
      <c r="D80" s="52"/>
      <c r="E80" s="52"/>
      <c r="F80" s="52"/>
      <c r="T80" s="53"/>
      <c r="U80" s="53"/>
      <c r="V80" s="53"/>
      <c r="W80" s="53"/>
      <c r="X80" s="53"/>
      <c r="Y80" s="53"/>
      <c r="Z80" s="51"/>
      <c r="AA80" s="51"/>
      <c r="AB80" s="51"/>
      <c r="AC80" s="54"/>
      <c r="AD80" s="54"/>
      <c r="AE80" s="54"/>
      <c r="AF80" s="54"/>
      <c r="AG80" s="54"/>
    </row>
    <row r="81" spans="1:33" s="41" customFormat="1" ht="12.75">
      <c r="A81" s="49"/>
      <c r="B81" s="50"/>
      <c r="C81" s="51"/>
      <c r="D81" s="52"/>
      <c r="E81" s="52"/>
      <c r="F81" s="52"/>
      <c r="T81" s="53"/>
      <c r="U81" s="53"/>
      <c r="V81" s="53"/>
      <c r="W81" s="53"/>
      <c r="X81" s="53"/>
      <c r="Y81" s="53"/>
      <c r="Z81" s="51"/>
      <c r="AA81" s="51"/>
      <c r="AB81" s="51"/>
      <c r="AC81" s="54"/>
      <c r="AD81" s="54"/>
      <c r="AE81" s="54"/>
      <c r="AF81" s="54"/>
      <c r="AG81" s="54"/>
    </row>
    <row r="82" spans="1:33" s="41" customFormat="1" ht="12.75">
      <c r="A82" s="49"/>
      <c r="B82" s="50"/>
      <c r="C82" s="51"/>
      <c r="D82" s="52"/>
      <c r="E82" s="52"/>
      <c r="F82" s="52"/>
      <c r="T82" s="53"/>
      <c r="U82" s="53"/>
      <c r="V82" s="53"/>
      <c r="W82" s="53"/>
      <c r="X82" s="53"/>
      <c r="Y82" s="53"/>
      <c r="Z82" s="51"/>
      <c r="AA82" s="51"/>
      <c r="AB82" s="51"/>
      <c r="AC82" s="54"/>
      <c r="AD82" s="54"/>
      <c r="AE82" s="54"/>
      <c r="AF82" s="54"/>
      <c r="AG82" s="54"/>
    </row>
    <row r="83" spans="1:33" s="41" customFormat="1" ht="12.75">
      <c r="A83" s="49"/>
      <c r="B83" s="50"/>
      <c r="C83" s="51"/>
      <c r="D83" s="52"/>
      <c r="E83" s="52"/>
      <c r="F83" s="52"/>
      <c r="T83" s="53"/>
      <c r="U83" s="53"/>
      <c r="V83" s="53"/>
      <c r="W83" s="53"/>
      <c r="X83" s="53"/>
      <c r="Y83" s="53"/>
      <c r="Z83" s="51"/>
      <c r="AA83" s="51"/>
      <c r="AB83" s="51"/>
      <c r="AC83" s="54"/>
      <c r="AD83" s="54"/>
      <c r="AE83" s="54"/>
      <c r="AF83" s="54"/>
      <c r="AG83" s="54"/>
    </row>
    <row r="84" spans="1:33" s="41" customFormat="1" ht="12.75">
      <c r="A84" s="49"/>
      <c r="B84" s="50"/>
      <c r="C84" s="51"/>
      <c r="D84" s="52"/>
      <c r="E84" s="52"/>
      <c r="F84" s="52"/>
      <c r="T84" s="53"/>
      <c r="U84" s="53"/>
      <c r="V84" s="53"/>
      <c r="W84" s="53"/>
      <c r="X84" s="53"/>
      <c r="Y84" s="53"/>
      <c r="Z84" s="51"/>
      <c r="AA84" s="51"/>
      <c r="AB84" s="51"/>
      <c r="AC84" s="54"/>
      <c r="AD84" s="54"/>
      <c r="AE84" s="54"/>
      <c r="AF84" s="54"/>
      <c r="AG84" s="54"/>
    </row>
    <row r="85" spans="1:33" s="41" customFormat="1" ht="12.75">
      <c r="A85" s="49"/>
      <c r="B85" s="50"/>
      <c r="C85" s="51"/>
      <c r="D85" s="52"/>
      <c r="E85" s="52"/>
      <c r="F85" s="52"/>
      <c r="T85" s="53"/>
      <c r="U85" s="53"/>
      <c r="V85" s="53"/>
      <c r="W85" s="53"/>
      <c r="X85" s="53"/>
      <c r="Y85" s="53"/>
      <c r="Z85" s="51"/>
      <c r="AA85" s="51"/>
      <c r="AB85" s="51"/>
      <c r="AC85" s="54"/>
      <c r="AD85" s="54"/>
      <c r="AE85" s="54"/>
      <c r="AF85" s="54"/>
      <c r="AG85" s="54"/>
    </row>
    <row r="86" spans="1:33" s="41" customFormat="1" ht="12.75">
      <c r="A86" s="49"/>
      <c r="B86" s="50"/>
      <c r="C86" s="51"/>
      <c r="D86" s="52"/>
      <c r="E86" s="52"/>
      <c r="F86" s="52"/>
      <c r="T86" s="53"/>
      <c r="U86" s="53"/>
      <c r="V86" s="53"/>
      <c r="W86" s="53"/>
      <c r="X86" s="53"/>
      <c r="Y86" s="53"/>
      <c r="Z86" s="51"/>
      <c r="AA86" s="51"/>
      <c r="AB86" s="51"/>
      <c r="AC86" s="54"/>
      <c r="AD86" s="54"/>
      <c r="AE86" s="54"/>
      <c r="AF86" s="54"/>
      <c r="AG86" s="54"/>
    </row>
    <row r="87" spans="1:33" s="41" customFormat="1" ht="12.75">
      <c r="A87" s="49"/>
      <c r="B87" s="50"/>
      <c r="C87" s="51"/>
      <c r="D87" s="52"/>
      <c r="E87" s="52"/>
      <c r="F87" s="52"/>
      <c r="T87" s="53"/>
      <c r="U87" s="53"/>
      <c r="V87" s="53"/>
      <c r="W87" s="53"/>
      <c r="X87" s="53"/>
      <c r="Y87" s="53"/>
      <c r="Z87" s="51"/>
      <c r="AA87" s="51"/>
      <c r="AB87" s="51"/>
      <c r="AC87" s="54"/>
      <c r="AD87" s="54"/>
      <c r="AE87" s="54"/>
      <c r="AF87" s="54"/>
      <c r="AG87" s="54"/>
    </row>
    <row r="88" spans="1:33" s="41" customFormat="1" ht="12.75">
      <c r="A88" s="49"/>
      <c r="B88" s="50"/>
      <c r="C88" s="51"/>
      <c r="D88" s="52"/>
      <c r="E88" s="52"/>
      <c r="F88" s="52"/>
      <c r="T88" s="53"/>
      <c r="U88" s="53"/>
      <c r="V88" s="53"/>
      <c r="W88" s="53"/>
      <c r="X88" s="53"/>
      <c r="Y88" s="53"/>
      <c r="Z88" s="51"/>
      <c r="AA88" s="51"/>
      <c r="AB88" s="51"/>
      <c r="AC88" s="54"/>
      <c r="AD88" s="54"/>
      <c r="AE88" s="54"/>
      <c r="AF88" s="54"/>
      <c r="AG88" s="54"/>
    </row>
    <row r="89" spans="1:33" s="41" customFormat="1" ht="12.75">
      <c r="A89" s="49"/>
      <c r="B89" s="50"/>
      <c r="C89" s="51"/>
      <c r="D89" s="52"/>
      <c r="E89" s="52"/>
      <c r="F89" s="52"/>
      <c r="T89" s="53"/>
      <c r="U89" s="53"/>
      <c r="V89" s="53"/>
      <c r="W89" s="53"/>
      <c r="X89" s="53"/>
      <c r="Y89" s="53"/>
      <c r="Z89" s="51"/>
      <c r="AA89" s="51"/>
      <c r="AB89" s="51"/>
      <c r="AC89" s="54"/>
      <c r="AD89" s="54"/>
      <c r="AE89" s="54"/>
      <c r="AF89" s="54"/>
      <c r="AG89" s="54"/>
    </row>
    <row r="90" spans="1:33" s="41" customFormat="1" ht="12.75">
      <c r="A90" s="49"/>
      <c r="B90" s="50"/>
      <c r="C90" s="51"/>
      <c r="D90" s="52"/>
      <c r="E90" s="52"/>
      <c r="F90" s="52"/>
      <c r="T90" s="53"/>
      <c r="U90" s="53"/>
      <c r="V90" s="53"/>
      <c r="W90" s="53"/>
      <c r="X90" s="53"/>
      <c r="Y90" s="53"/>
      <c r="Z90" s="51"/>
      <c r="AA90" s="51"/>
      <c r="AB90" s="51"/>
      <c r="AC90" s="54"/>
      <c r="AD90" s="54"/>
      <c r="AE90" s="54"/>
      <c r="AF90" s="54"/>
      <c r="AG90" s="54"/>
    </row>
    <row r="91" spans="1:33" s="41" customFormat="1" ht="12.75">
      <c r="A91" s="49"/>
      <c r="B91" s="50"/>
      <c r="C91" s="51"/>
      <c r="D91" s="52"/>
      <c r="E91" s="52"/>
      <c r="F91" s="52"/>
      <c r="T91" s="53"/>
      <c r="U91" s="53"/>
      <c r="V91" s="53"/>
      <c r="W91" s="53"/>
      <c r="X91" s="53"/>
      <c r="Y91" s="53"/>
      <c r="Z91" s="51"/>
      <c r="AA91" s="51"/>
      <c r="AB91" s="51"/>
      <c r="AC91" s="54"/>
      <c r="AD91" s="54"/>
      <c r="AE91" s="54"/>
      <c r="AF91" s="54"/>
      <c r="AG91" s="54"/>
    </row>
    <row r="92" spans="1:33" s="41" customFormat="1" ht="12.75">
      <c r="A92" s="49"/>
      <c r="B92" s="50"/>
      <c r="C92" s="51"/>
      <c r="D92" s="52"/>
      <c r="E92" s="52"/>
      <c r="F92" s="52"/>
      <c r="T92" s="53"/>
      <c r="U92" s="53"/>
      <c r="V92" s="53"/>
      <c r="W92" s="53"/>
      <c r="X92" s="53"/>
      <c r="Y92" s="53"/>
      <c r="Z92" s="51"/>
      <c r="AA92" s="51"/>
      <c r="AB92" s="51"/>
      <c r="AC92" s="54"/>
      <c r="AD92" s="54"/>
      <c r="AE92" s="54"/>
      <c r="AF92" s="54"/>
      <c r="AG92" s="54"/>
    </row>
    <row r="93" spans="1:33" s="41" customFormat="1" ht="12.75">
      <c r="A93" s="49"/>
      <c r="B93" s="50"/>
      <c r="C93" s="51"/>
      <c r="D93" s="52"/>
      <c r="E93" s="52"/>
      <c r="F93" s="52"/>
      <c r="T93" s="53"/>
      <c r="U93" s="53"/>
      <c r="V93" s="53"/>
      <c r="W93" s="53"/>
      <c r="X93" s="53"/>
      <c r="Y93" s="53"/>
      <c r="Z93" s="51"/>
      <c r="AA93" s="51"/>
      <c r="AB93" s="51"/>
      <c r="AC93" s="54"/>
      <c r="AD93" s="54"/>
      <c r="AE93" s="54"/>
      <c r="AF93" s="54"/>
      <c r="AG93" s="54"/>
    </row>
    <row r="94" spans="1:33" s="41" customFormat="1" ht="12.75">
      <c r="A94" s="49"/>
      <c r="B94" s="50"/>
      <c r="C94" s="51"/>
      <c r="D94" s="52"/>
      <c r="E94" s="52"/>
      <c r="F94" s="52"/>
      <c r="T94" s="53"/>
      <c r="U94" s="53"/>
      <c r="V94" s="53"/>
      <c r="W94" s="53"/>
      <c r="X94" s="53"/>
      <c r="Y94" s="53"/>
      <c r="Z94" s="51"/>
      <c r="AA94" s="51"/>
      <c r="AB94" s="51"/>
      <c r="AC94" s="54"/>
      <c r="AD94" s="54"/>
      <c r="AE94" s="54"/>
      <c r="AF94" s="54"/>
      <c r="AG94" s="54"/>
    </row>
    <row r="95" spans="1:33" s="41" customFormat="1" ht="12.75">
      <c r="A95" s="49"/>
      <c r="B95" s="50"/>
      <c r="C95" s="51"/>
      <c r="D95" s="52"/>
      <c r="E95" s="52"/>
      <c r="F95" s="52"/>
      <c r="T95" s="53"/>
      <c r="U95" s="53"/>
      <c r="V95" s="53"/>
      <c r="W95" s="53"/>
      <c r="X95" s="53"/>
      <c r="Y95" s="53"/>
      <c r="Z95" s="51"/>
      <c r="AA95" s="51"/>
      <c r="AB95" s="51"/>
      <c r="AC95" s="54"/>
      <c r="AD95" s="54"/>
      <c r="AE95" s="54"/>
      <c r="AF95" s="54"/>
      <c r="AG95" s="54"/>
    </row>
    <row r="96" spans="1:33" s="41" customFormat="1" ht="12.75">
      <c r="A96" s="49"/>
      <c r="B96" s="50"/>
      <c r="C96" s="51"/>
      <c r="D96" s="52"/>
      <c r="E96" s="52"/>
      <c r="F96" s="52"/>
      <c r="T96" s="53"/>
      <c r="U96" s="53"/>
      <c r="V96" s="53"/>
      <c r="W96" s="53"/>
      <c r="X96" s="53"/>
      <c r="Y96" s="53"/>
      <c r="Z96" s="51"/>
      <c r="AA96" s="51"/>
      <c r="AB96" s="51"/>
      <c r="AC96" s="54"/>
      <c r="AD96" s="54"/>
      <c r="AE96" s="54"/>
      <c r="AF96" s="54"/>
      <c r="AG96" s="54"/>
    </row>
    <row r="97" spans="1:33" s="41" customFormat="1" ht="12.75">
      <c r="A97" s="49"/>
      <c r="B97" s="50"/>
      <c r="C97" s="51"/>
      <c r="D97" s="52"/>
      <c r="E97" s="52"/>
      <c r="F97" s="52"/>
      <c r="T97" s="53"/>
      <c r="U97" s="53"/>
      <c r="V97" s="53"/>
      <c r="W97" s="53"/>
      <c r="X97" s="53"/>
      <c r="Y97" s="53"/>
      <c r="Z97" s="51"/>
      <c r="AA97" s="51"/>
      <c r="AB97" s="51"/>
      <c r="AC97" s="54"/>
      <c r="AD97" s="54"/>
      <c r="AE97" s="54"/>
      <c r="AF97" s="54"/>
      <c r="AG97" s="54"/>
    </row>
    <row r="98" spans="1:33" s="41" customFormat="1" ht="12.75">
      <c r="A98" s="49"/>
      <c r="B98" s="50"/>
      <c r="C98" s="51"/>
      <c r="D98" s="52"/>
      <c r="E98" s="52"/>
      <c r="F98" s="52"/>
      <c r="T98" s="53"/>
      <c r="U98" s="53"/>
      <c r="V98" s="53"/>
      <c r="W98" s="53"/>
      <c r="X98" s="53"/>
      <c r="Y98" s="53"/>
      <c r="Z98" s="51"/>
      <c r="AA98" s="51"/>
      <c r="AB98" s="51"/>
      <c r="AC98" s="54"/>
      <c r="AD98" s="54"/>
      <c r="AE98" s="54"/>
      <c r="AF98" s="54"/>
      <c r="AG98" s="54"/>
    </row>
    <row r="99" spans="1:33" s="41" customFormat="1" ht="12.75">
      <c r="A99" s="49"/>
      <c r="B99" s="50"/>
      <c r="C99" s="51"/>
      <c r="D99" s="52"/>
      <c r="E99" s="52"/>
      <c r="F99" s="52"/>
      <c r="T99" s="53"/>
      <c r="U99" s="53"/>
      <c r="V99" s="53"/>
      <c r="W99" s="53"/>
      <c r="X99" s="53"/>
      <c r="Y99" s="53"/>
      <c r="Z99" s="51"/>
      <c r="AA99" s="51"/>
      <c r="AB99" s="51"/>
      <c r="AC99" s="54"/>
      <c r="AD99" s="54"/>
      <c r="AE99" s="54"/>
      <c r="AF99" s="54"/>
      <c r="AG99" s="54"/>
    </row>
    <row r="100" spans="1:33" s="41" customFormat="1" ht="12.75">
      <c r="A100" s="49"/>
      <c r="B100" s="50"/>
      <c r="C100" s="51"/>
      <c r="D100" s="52"/>
      <c r="E100" s="52"/>
      <c r="F100" s="52"/>
      <c r="T100" s="53"/>
      <c r="U100" s="53"/>
      <c r="V100" s="53"/>
      <c r="W100" s="53"/>
      <c r="X100" s="53"/>
      <c r="Y100" s="53"/>
      <c r="Z100" s="51"/>
      <c r="AA100" s="51"/>
      <c r="AB100" s="51"/>
      <c r="AC100" s="54"/>
      <c r="AD100" s="54"/>
      <c r="AE100" s="54"/>
      <c r="AF100" s="54"/>
      <c r="AG100" s="54"/>
    </row>
    <row r="101" spans="1:33" s="41" customFormat="1" ht="12.75">
      <c r="A101" s="49"/>
      <c r="B101" s="50"/>
      <c r="C101" s="51"/>
      <c r="D101" s="52"/>
      <c r="E101" s="52"/>
      <c r="F101" s="52"/>
      <c r="T101" s="53"/>
      <c r="U101" s="53"/>
      <c r="V101" s="53"/>
      <c r="W101" s="53"/>
      <c r="X101" s="53"/>
      <c r="Y101" s="53"/>
      <c r="Z101" s="51"/>
      <c r="AA101" s="51"/>
      <c r="AB101" s="51"/>
      <c r="AC101" s="54"/>
      <c r="AD101" s="54"/>
      <c r="AE101" s="54"/>
      <c r="AF101" s="54"/>
      <c r="AG101" s="54"/>
    </row>
    <row r="102" spans="1:33" s="41" customFormat="1" ht="12.75">
      <c r="A102" s="49"/>
      <c r="B102" s="50"/>
      <c r="C102" s="51"/>
      <c r="D102" s="52"/>
      <c r="E102" s="52"/>
      <c r="F102" s="52"/>
      <c r="T102" s="53"/>
      <c r="U102" s="53"/>
      <c r="V102" s="53"/>
      <c r="W102" s="53"/>
      <c r="X102" s="53"/>
      <c r="Y102" s="53"/>
      <c r="Z102" s="51"/>
      <c r="AA102" s="51"/>
      <c r="AB102" s="51"/>
      <c r="AC102" s="54"/>
      <c r="AD102" s="54"/>
      <c r="AE102" s="54"/>
      <c r="AF102" s="54"/>
      <c r="AG102" s="54"/>
    </row>
    <row r="103" spans="1:33" s="41" customFormat="1" ht="12.75">
      <c r="A103" s="49"/>
      <c r="B103" s="50"/>
      <c r="C103" s="51"/>
      <c r="D103" s="52"/>
      <c r="E103" s="52"/>
      <c r="F103" s="52"/>
      <c r="T103" s="53"/>
      <c r="U103" s="53"/>
      <c r="V103" s="53"/>
      <c r="W103" s="53"/>
      <c r="X103" s="53"/>
      <c r="Y103" s="53"/>
      <c r="Z103" s="51"/>
      <c r="AA103" s="51"/>
      <c r="AB103" s="51"/>
      <c r="AC103" s="54"/>
      <c r="AD103" s="54"/>
      <c r="AE103" s="54"/>
      <c r="AF103" s="54"/>
      <c r="AG103" s="54"/>
    </row>
    <row r="104" spans="1:33" s="41" customFormat="1" ht="12.75">
      <c r="A104" s="49"/>
      <c r="B104" s="50"/>
      <c r="C104" s="51"/>
      <c r="D104" s="52"/>
      <c r="E104" s="52"/>
      <c r="F104" s="52"/>
      <c r="T104" s="53"/>
      <c r="U104" s="53"/>
      <c r="V104" s="53"/>
      <c r="W104" s="53"/>
      <c r="X104" s="53"/>
      <c r="Y104" s="53"/>
      <c r="Z104" s="51"/>
      <c r="AA104" s="51"/>
      <c r="AB104" s="51"/>
      <c r="AC104" s="54"/>
      <c r="AD104" s="54"/>
      <c r="AE104" s="54"/>
      <c r="AF104" s="54"/>
      <c r="AG104" s="54"/>
    </row>
    <row r="105" spans="1:33" s="41" customFormat="1" ht="12.75">
      <c r="A105" s="49"/>
      <c r="B105" s="50"/>
      <c r="C105" s="51"/>
      <c r="D105" s="52"/>
      <c r="E105" s="52"/>
      <c r="F105" s="52"/>
      <c r="T105" s="53"/>
      <c r="U105" s="53"/>
      <c r="V105" s="53"/>
      <c r="W105" s="53"/>
      <c r="X105" s="53"/>
      <c r="Y105" s="53"/>
      <c r="Z105" s="51"/>
      <c r="AA105" s="51"/>
      <c r="AB105" s="51"/>
      <c r="AC105" s="54"/>
      <c r="AD105" s="54"/>
      <c r="AE105" s="54"/>
      <c r="AF105" s="54"/>
      <c r="AG105" s="54"/>
    </row>
    <row r="106" spans="1:33" s="41" customFormat="1" ht="12.75">
      <c r="A106" s="49"/>
      <c r="B106" s="50"/>
      <c r="C106" s="51"/>
      <c r="D106" s="52"/>
      <c r="E106" s="52"/>
      <c r="F106" s="52"/>
      <c r="T106" s="53"/>
      <c r="U106" s="53"/>
      <c r="V106" s="53"/>
      <c r="W106" s="53"/>
      <c r="X106" s="53"/>
      <c r="Y106" s="53"/>
      <c r="Z106" s="51"/>
      <c r="AA106" s="51"/>
      <c r="AB106" s="51"/>
      <c r="AC106" s="54"/>
      <c r="AD106" s="54"/>
      <c r="AE106" s="54"/>
      <c r="AF106" s="54"/>
      <c r="AG106" s="54"/>
    </row>
    <row r="107" spans="1:33" s="41" customFormat="1" ht="12.75">
      <c r="A107" s="49"/>
      <c r="B107" s="50"/>
      <c r="C107" s="51"/>
      <c r="D107" s="52"/>
      <c r="E107" s="52"/>
      <c r="F107" s="52"/>
      <c r="T107" s="53"/>
      <c r="U107" s="53"/>
      <c r="V107" s="53"/>
      <c r="W107" s="53"/>
      <c r="X107" s="53"/>
      <c r="Y107" s="53"/>
      <c r="Z107" s="51"/>
      <c r="AA107" s="51"/>
      <c r="AB107" s="51"/>
      <c r="AC107" s="54"/>
      <c r="AD107" s="54"/>
      <c r="AE107" s="54"/>
      <c r="AF107" s="54"/>
      <c r="AG107" s="54"/>
    </row>
    <row r="108" spans="1:33" s="41" customFormat="1" ht="12.75">
      <c r="A108" s="49"/>
      <c r="B108" s="50"/>
      <c r="C108" s="51"/>
      <c r="D108" s="52"/>
      <c r="E108" s="52"/>
      <c r="F108" s="52"/>
      <c r="T108" s="53"/>
      <c r="U108" s="53"/>
      <c r="V108" s="53"/>
      <c r="W108" s="53"/>
      <c r="X108" s="53"/>
      <c r="Y108" s="53"/>
      <c r="Z108" s="51"/>
      <c r="AA108" s="51"/>
      <c r="AB108" s="51"/>
      <c r="AC108" s="54"/>
      <c r="AD108" s="54"/>
      <c r="AE108" s="54"/>
      <c r="AF108" s="54"/>
      <c r="AG108" s="54"/>
    </row>
    <row r="109" spans="1:33" s="41" customFormat="1" ht="12.75">
      <c r="A109" s="49"/>
      <c r="B109" s="640"/>
      <c r="C109" s="640"/>
      <c r="D109" s="640"/>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52"/>
      <c r="AB109" s="52"/>
      <c r="AC109" s="43"/>
      <c r="AD109" s="43"/>
      <c r="AE109" s="43"/>
      <c r="AF109" s="43"/>
      <c r="AG109" s="43"/>
    </row>
    <row r="110" spans="1:33" s="41" customFormat="1" ht="12.75">
      <c r="A110" s="49"/>
      <c r="B110" s="50"/>
      <c r="C110" s="51"/>
      <c r="D110" s="52"/>
      <c r="E110" s="52"/>
      <c r="F110" s="52"/>
      <c r="T110" s="53"/>
      <c r="U110" s="53"/>
      <c r="V110" s="53"/>
      <c r="W110" s="53"/>
      <c r="X110" s="53"/>
      <c r="Y110" s="53"/>
      <c r="Z110" s="51"/>
      <c r="AA110" s="51"/>
      <c r="AB110" s="51"/>
      <c r="AC110" s="54"/>
      <c r="AD110" s="54"/>
      <c r="AE110" s="54"/>
      <c r="AF110" s="54"/>
      <c r="AG110" s="54"/>
    </row>
    <row r="111" spans="1:33" s="41" customFormat="1" ht="12.75">
      <c r="A111" s="49"/>
      <c r="B111" s="50"/>
      <c r="C111" s="51"/>
      <c r="D111" s="52"/>
      <c r="E111" s="52"/>
      <c r="F111" s="52"/>
      <c r="T111" s="53"/>
      <c r="U111" s="53"/>
      <c r="V111" s="53"/>
      <c r="W111" s="53"/>
      <c r="X111" s="53"/>
      <c r="Y111" s="53"/>
      <c r="Z111" s="51"/>
      <c r="AA111" s="51"/>
      <c r="AB111" s="51"/>
      <c r="AC111" s="54"/>
      <c r="AD111" s="54"/>
      <c r="AE111" s="54"/>
      <c r="AF111" s="54"/>
      <c r="AG111" s="54"/>
    </row>
    <row r="112" spans="1:33" s="41" customFormat="1" ht="12.75">
      <c r="A112" s="49"/>
      <c r="B112" s="50"/>
      <c r="C112" s="51"/>
      <c r="D112" s="52"/>
      <c r="E112" s="52"/>
      <c r="F112" s="52"/>
      <c r="T112" s="53"/>
      <c r="U112" s="53"/>
      <c r="V112" s="53"/>
      <c r="W112" s="53"/>
      <c r="X112" s="53"/>
      <c r="Y112" s="53"/>
      <c r="Z112" s="51"/>
      <c r="AA112" s="51"/>
      <c r="AB112" s="51"/>
      <c r="AC112" s="54"/>
      <c r="AD112" s="54"/>
      <c r="AE112" s="54"/>
      <c r="AF112" s="54"/>
      <c r="AG112" s="54"/>
    </row>
    <row r="113" spans="1:33" s="41" customFormat="1" ht="12.75">
      <c r="A113" s="49"/>
      <c r="B113" s="50"/>
      <c r="C113" s="51"/>
      <c r="D113" s="52"/>
      <c r="E113" s="52"/>
      <c r="F113" s="52"/>
      <c r="T113" s="53"/>
      <c r="U113" s="53"/>
      <c r="V113" s="53"/>
      <c r="W113" s="53"/>
      <c r="X113" s="53"/>
      <c r="Y113" s="53"/>
      <c r="Z113" s="51"/>
      <c r="AA113" s="51"/>
      <c r="AB113" s="51"/>
      <c r="AC113" s="54"/>
      <c r="AD113" s="54"/>
      <c r="AE113" s="54"/>
      <c r="AF113" s="54"/>
      <c r="AG113" s="54"/>
    </row>
    <row r="114" spans="1:33" s="41" customFormat="1" ht="12.75">
      <c r="A114" s="49"/>
      <c r="B114" s="50"/>
      <c r="C114" s="51"/>
      <c r="D114" s="52"/>
      <c r="E114" s="52"/>
      <c r="F114" s="52"/>
      <c r="T114" s="53"/>
      <c r="U114" s="53"/>
      <c r="V114" s="53"/>
      <c r="W114" s="53"/>
      <c r="X114" s="53"/>
      <c r="Y114" s="53"/>
      <c r="Z114" s="51"/>
      <c r="AA114" s="51"/>
      <c r="AB114" s="51"/>
      <c r="AC114" s="54"/>
      <c r="AD114" s="54"/>
      <c r="AE114" s="54"/>
      <c r="AF114" s="54"/>
      <c r="AG114" s="54"/>
    </row>
    <row r="115" spans="1:33" s="41" customFormat="1" ht="12.75">
      <c r="A115" s="49"/>
      <c r="B115" s="50"/>
      <c r="C115" s="51"/>
      <c r="D115" s="52"/>
      <c r="E115" s="52"/>
      <c r="F115" s="52"/>
      <c r="T115" s="53"/>
      <c r="U115" s="53"/>
      <c r="V115" s="53"/>
      <c r="W115" s="53"/>
      <c r="X115" s="53"/>
      <c r="Y115" s="53"/>
      <c r="Z115" s="51"/>
      <c r="AA115" s="51"/>
      <c r="AB115" s="51"/>
      <c r="AC115" s="54"/>
      <c r="AD115" s="54"/>
      <c r="AE115" s="54"/>
      <c r="AF115" s="54"/>
      <c r="AG115" s="54"/>
    </row>
    <row r="116" spans="1:33" s="41" customFormat="1" ht="12.75">
      <c r="A116" s="49"/>
      <c r="B116" s="50"/>
      <c r="C116" s="51"/>
      <c r="D116" s="52"/>
      <c r="E116" s="52"/>
      <c r="F116" s="52"/>
      <c r="T116" s="53"/>
      <c r="U116" s="53"/>
      <c r="V116" s="53"/>
      <c r="W116" s="53"/>
      <c r="X116" s="53"/>
      <c r="Y116" s="53"/>
      <c r="Z116" s="51"/>
      <c r="AA116" s="51"/>
      <c r="AB116" s="51"/>
      <c r="AC116" s="54"/>
      <c r="AD116" s="54"/>
      <c r="AE116" s="54"/>
      <c r="AF116" s="54"/>
      <c r="AG116" s="54"/>
    </row>
    <row r="117" spans="1:33" s="41" customFormat="1" ht="12.75">
      <c r="A117" s="49"/>
      <c r="B117" s="50"/>
      <c r="C117" s="51"/>
      <c r="D117" s="52"/>
      <c r="E117" s="52"/>
      <c r="F117" s="52"/>
      <c r="T117" s="53"/>
      <c r="U117" s="53"/>
      <c r="V117" s="53"/>
      <c r="W117" s="53"/>
      <c r="X117" s="53"/>
      <c r="Y117" s="53"/>
      <c r="Z117" s="51"/>
      <c r="AA117" s="51"/>
      <c r="AB117" s="51"/>
      <c r="AC117" s="54"/>
      <c r="AD117" s="54"/>
      <c r="AE117" s="54"/>
      <c r="AF117" s="54"/>
      <c r="AG117" s="54"/>
    </row>
    <row r="118" spans="1:33" s="41" customFormat="1" ht="12.75">
      <c r="A118" s="49"/>
      <c r="B118" s="50"/>
      <c r="C118" s="51"/>
      <c r="D118" s="52"/>
      <c r="E118" s="52"/>
      <c r="F118" s="52"/>
      <c r="T118" s="53"/>
      <c r="U118" s="53"/>
      <c r="V118" s="53"/>
      <c r="W118" s="53"/>
      <c r="X118" s="53"/>
      <c r="Y118" s="53"/>
      <c r="Z118" s="51"/>
      <c r="AA118" s="51"/>
      <c r="AB118" s="51"/>
      <c r="AC118" s="54"/>
      <c r="AD118" s="54"/>
      <c r="AE118" s="54"/>
      <c r="AF118" s="54"/>
      <c r="AG118" s="54"/>
    </row>
    <row r="119" spans="1:33" s="41" customFormat="1" ht="12.75">
      <c r="A119" s="49"/>
      <c r="B119" s="50"/>
      <c r="C119" s="51"/>
      <c r="D119" s="52"/>
      <c r="E119" s="52"/>
      <c r="F119" s="52"/>
      <c r="T119" s="53"/>
      <c r="U119" s="53"/>
      <c r="V119" s="53"/>
      <c r="W119" s="53"/>
      <c r="X119" s="53"/>
      <c r="Y119" s="53"/>
      <c r="Z119" s="51"/>
      <c r="AA119" s="51"/>
      <c r="AB119" s="51"/>
      <c r="AC119" s="54"/>
      <c r="AD119" s="54"/>
      <c r="AE119" s="54"/>
      <c r="AF119" s="54"/>
      <c r="AG119" s="54"/>
    </row>
    <row r="120" spans="1:33" s="41" customFormat="1" ht="12.75">
      <c r="A120" s="49"/>
      <c r="B120" s="50"/>
      <c r="C120" s="51"/>
      <c r="D120" s="52"/>
      <c r="E120" s="52"/>
      <c r="F120" s="52"/>
      <c r="T120" s="53"/>
      <c r="U120" s="53"/>
      <c r="V120" s="53"/>
      <c r="W120" s="53"/>
      <c r="X120" s="53"/>
      <c r="Y120" s="53"/>
      <c r="Z120" s="51"/>
      <c r="AA120" s="51"/>
      <c r="AB120" s="51"/>
      <c r="AC120" s="54"/>
      <c r="AD120" s="54"/>
      <c r="AE120" s="54"/>
      <c r="AF120" s="54"/>
      <c r="AG120" s="54"/>
    </row>
    <row r="121" spans="1:33" s="41" customFormat="1" ht="12.75">
      <c r="A121" s="49"/>
      <c r="B121" s="50"/>
      <c r="C121" s="51"/>
      <c r="D121" s="52"/>
      <c r="E121" s="52"/>
      <c r="F121" s="52"/>
      <c r="T121" s="53"/>
      <c r="U121" s="53"/>
      <c r="V121" s="53"/>
      <c r="W121" s="53"/>
      <c r="X121" s="53"/>
      <c r="Y121" s="53"/>
      <c r="Z121" s="51"/>
      <c r="AA121" s="51"/>
      <c r="AB121" s="51"/>
      <c r="AC121" s="54"/>
      <c r="AD121" s="54"/>
      <c r="AE121" s="54"/>
      <c r="AF121" s="54"/>
      <c r="AG121" s="54"/>
    </row>
    <row r="122" spans="1:33" s="41" customFormat="1" ht="12.75">
      <c r="A122" s="49"/>
      <c r="B122" s="50"/>
      <c r="C122" s="51"/>
      <c r="D122" s="52"/>
      <c r="E122" s="52"/>
      <c r="F122" s="52"/>
      <c r="T122" s="53"/>
      <c r="U122" s="53"/>
      <c r="V122" s="53"/>
      <c r="W122" s="53"/>
      <c r="X122" s="53"/>
      <c r="Y122" s="53"/>
      <c r="Z122" s="51"/>
      <c r="AA122" s="51"/>
      <c r="AB122" s="51"/>
      <c r="AC122" s="54"/>
      <c r="AD122" s="54"/>
      <c r="AE122" s="54"/>
      <c r="AF122" s="54"/>
      <c r="AG122" s="54"/>
    </row>
    <row r="123" spans="1:33" s="41" customFormat="1" ht="12.75">
      <c r="A123" s="49"/>
      <c r="B123" s="50"/>
      <c r="C123" s="51"/>
      <c r="D123" s="52"/>
      <c r="E123" s="52"/>
      <c r="F123" s="52"/>
      <c r="T123" s="53"/>
      <c r="U123" s="53"/>
      <c r="V123" s="53"/>
      <c r="W123" s="53"/>
      <c r="X123" s="53"/>
      <c r="Y123" s="53"/>
      <c r="Z123" s="51"/>
      <c r="AA123" s="51"/>
      <c r="AB123" s="51"/>
      <c r="AC123" s="54"/>
      <c r="AD123" s="54"/>
      <c r="AE123" s="54"/>
      <c r="AF123" s="54"/>
      <c r="AG123" s="54"/>
    </row>
    <row r="124" spans="1:33" s="41" customFormat="1" ht="12.75">
      <c r="A124" s="49"/>
      <c r="B124" s="50"/>
      <c r="C124" s="51"/>
      <c r="D124" s="52"/>
      <c r="E124" s="52"/>
      <c r="F124" s="52"/>
      <c r="T124" s="53"/>
      <c r="U124" s="53"/>
      <c r="V124" s="53"/>
      <c r="W124" s="53"/>
      <c r="X124" s="53"/>
      <c r="Y124" s="53"/>
      <c r="Z124" s="51"/>
      <c r="AA124" s="51"/>
      <c r="AB124" s="51"/>
      <c r="AC124" s="54"/>
      <c r="AD124" s="54"/>
      <c r="AE124" s="54"/>
      <c r="AF124" s="54"/>
      <c r="AG124" s="54"/>
    </row>
    <row r="125" spans="1:33" s="41" customFormat="1" ht="12.75">
      <c r="A125" s="49"/>
      <c r="B125" s="50"/>
      <c r="C125" s="51"/>
      <c r="D125" s="52"/>
      <c r="E125" s="52"/>
      <c r="F125" s="52"/>
      <c r="T125" s="53"/>
      <c r="U125" s="53"/>
      <c r="V125" s="53"/>
      <c r="W125" s="53"/>
      <c r="X125" s="53"/>
      <c r="Y125" s="53"/>
      <c r="Z125" s="51"/>
      <c r="AA125" s="51"/>
      <c r="AB125" s="51"/>
      <c r="AC125" s="54"/>
      <c r="AD125" s="54"/>
      <c r="AE125" s="54"/>
      <c r="AF125" s="54"/>
      <c r="AG125" s="54"/>
    </row>
    <row r="126" spans="1:33" s="41" customFormat="1" ht="12.75">
      <c r="A126" s="49"/>
      <c r="B126" s="50"/>
      <c r="C126" s="51"/>
      <c r="D126" s="52"/>
      <c r="E126" s="52"/>
      <c r="F126" s="52"/>
      <c r="T126" s="53"/>
      <c r="U126" s="53"/>
      <c r="V126" s="53"/>
      <c r="W126" s="53"/>
      <c r="X126" s="53"/>
      <c r="Y126" s="53"/>
      <c r="Z126" s="51"/>
      <c r="AA126" s="51"/>
      <c r="AB126" s="51"/>
      <c r="AC126" s="54"/>
      <c r="AD126" s="54"/>
      <c r="AE126" s="54"/>
      <c r="AF126" s="54"/>
      <c r="AG126" s="54"/>
    </row>
    <row r="127" spans="1:33" s="41" customFormat="1" ht="12.75">
      <c r="A127" s="49"/>
      <c r="B127" s="50"/>
      <c r="C127" s="51"/>
      <c r="D127" s="52"/>
      <c r="E127" s="52"/>
      <c r="F127" s="52"/>
      <c r="T127" s="53"/>
      <c r="U127" s="53"/>
      <c r="V127" s="53"/>
      <c r="W127" s="53"/>
      <c r="X127" s="53"/>
      <c r="Y127" s="53"/>
      <c r="Z127" s="51"/>
      <c r="AA127" s="51"/>
      <c r="AB127" s="51"/>
      <c r="AC127" s="54"/>
      <c r="AD127" s="54"/>
      <c r="AE127" s="54"/>
      <c r="AF127" s="54"/>
      <c r="AG127" s="54"/>
    </row>
    <row r="128" spans="1:33" s="41" customFormat="1" ht="12.75">
      <c r="A128" s="49"/>
      <c r="B128" s="50"/>
      <c r="C128" s="51"/>
      <c r="D128" s="52"/>
      <c r="E128" s="52"/>
      <c r="F128" s="52"/>
      <c r="T128" s="53"/>
      <c r="U128" s="53"/>
      <c r="V128" s="53"/>
      <c r="W128" s="53"/>
      <c r="X128" s="53"/>
      <c r="Y128" s="53"/>
      <c r="Z128" s="51"/>
      <c r="AA128" s="51"/>
      <c r="AB128" s="51"/>
      <c r="AC128" s="54"/>
      <c r="AD128" s="54"/>
      <c r="AE128" s="54"/>
      <c r="AF128" s="54"/>
      <c r="AG128" s="54"/>
    </row>
    <row r="129" spans="1:33" s="41" customFormat="1" ht="12.75">
      <c r="A129" s="49"/>
      <c r="B129" s="50"/>
      <c r="C129" s="51"/>
      <c r="D129" s="52"/>
      <c r="E129" s="52"/>
      <c r="F129" s="52"/>
      <c r="T129" s="53"/>
      <c r="U129" s="53"/>
      <c r="V129" s="53"/>
      <c r="W129" s="53"/>
      <c r="X129" s="53"/>
      <c r="Y129" s="53"/>
      <c r="Z129" s="51"/>
      <c r="AA129" s="51"/>
      <c r="AB129" s="51"/>
      <c r="AC129" s="54"/>
      <c r="AD129" s="54"/>
      <c r="AE129" s="54"/>
      <c r="AF129" s="54"/>
      <c r="AG129" s="54"/>
    </row>
    <row r="130" spans="1:33" s="41" customFormat="1" ht="12.75">
      <c r="A130" s="49"/>
      <c r="B130" s="50"/>
      <c r="C130" s="51"/>
      <c r="D130" s="52"/>
      <c r="E130" s="52"/>
      <c r="F130" s="52"/>
      <c r="T130" s="53"/>
      <c r="U130" s="53"/>
      <c r="V130" s="53"/>
      <c r="W130" s="53"/>
      <c r="X130" s="53"/>
      <c r="Y130" s="53"/>
      <c r="Z130" s="51"/>
      <c r="AA130" s="51"/>
      <c r="AB130" s="51"/>
      <c r="AC130" s="54"/>
      <c r="AD130" s="54"/>
      <c r="AE130" s="54"/>
      <c r="AF130" s="54"/>
      <c r="AG130" s="54"/>
    </row>
    <row r="131" spans="1:33" s="41" customFormat="1" ht="12.75">
      <c r="A131" s="49"/>
      <c r="B131" s="50"/>
      <c r="C131" s="51"/>
      <c r="D131" s="52"/>
      <c r="E131" s="52"/>
      <c r="F131" s="52"/>
      <c r="T131" s="53"/>
      <c r="U131" s="53"/>
      <c r="V131" s="53"/>
      <c r="W131" s="53"/>
      <c r="X131" s="53"/>
      <c r="Y131" s="53"/>
      <c r="Z131" s="51"/>
      <c r="AA131" s="51"/>
      <c r="AB131" s="51"/>
      <c r="AC131" s="54"/>
      <c r="AD131" s="54"/>
      <c r="AE131" s="54"/>
      <c r="AF131" s="54"/>
      <c r="AG131" s="54"/>
    </row>
    <row r="132" spans="1:33" s="41" customFormat="1" ht="12.75">
      <c r="A132" s="49"/>
      <c r="B132" s="50"/>
      <c r="C132" s="51"/>
      <c r="D132" s="52"/>
      <c r="E132" s="52"/>
      <c r="F132" s="52"/>
      <c r="T132" s="53"/>
      <c r="U132" s="53"/>
      <c r="V132" s="53"/>
      <c r="W132" s="53"/>
      <c r="X132" s="53"/>
      <c r="Y132" s="53"/>
      <c r="Z132" s="51"/>
      <c r="AA132" s="51"/>
      <c r="AB132" s="51"/>
      <c r="AC132" s="54"/>
      <c r="AD132" s="54"/>
      <c r="AE132" s="54"/>
      <c r="AF132" s="54"/>
      <c r="AG132" s="54"/>
    </row>
    <row r="133" spans="1:33" s="41" customFormat="1" ht="12.75">
      <c r="A133" s="49"/>
      <c r="B133" s="50"/>
      <c r="C133" s="51"/>
      <c r="D133" s="52"/>
      <c r="E133" s="52"/>
      <c r="F133" s="52"/>
      <c r="T133" s="53"/>
      <c r="U133" s="53"/>
      <c r="V133" s="53"/>
      <c r="W133" s="53"/>
      <c r="X133" s="53"/>
      <c r="Y133" s="53"/>
      <c r="Z133" s="51"/>
      <c r="AA133" s="51"/>
      <c r="AB133" s="51"/>
      <c r="AC133" s="54"/>
      <c r="AD133" s="54"/>
      <c r="AE133" s="54"/>
      <c r="AF133" s="54"/>
      <c r="AG133" s="54"/>
    </row>
    <row r="134" spans="1:33" s="41" customFormat="1" ht="12.75">
      <c r="A134" s="49"/>
      <c r="B134" s="50"/>
      <c r="C134" s="51"/>
      <c r="D134" s="52"/>
      <c r="E134" s="52"/>
      <c r="F134" s="52"/>
      <c r="T134" s="53"/>
      <c r="U134" s="53"/>
      <c r="V134" s="53"/>
      <c r="W134" s="53"/>
      <c r="X134" s="53"/>
      <c r="Y134" s="53"/>
      <c r="Z134" s="51"/>
      <c r="AA134" s="51"/>
      <c r="AB134" s="51"/>
      <c r="AC134" s="54"/>
      <c r="AD134" s="54"/>
      <c r="AE134" s="54"/>
      <c r="AF134" s="54"/>
      <c r="AG134" s="54"/>
    </row>
    <row r="135" spans="1:33" s="41" customFormat="1" ht="12.75">
      <c r="A135" s="49"/>
      <c r="B135" s="50"/>
      <c r="C135" s="51"/>
      <c r="D135" s="52"/>
      <c r="E135" s="52"/>
      <c r="F135" s="52"/>
      <c r="T135" s="53"/>
      <c r="U135" s="53"/>
      <c r="V135" s="53"/>
      <c r="W135" s="53"/>
      <c r="X135" s="53"/>
      <c r="Y135" s="53"/>
      <c r="Z135" s="51"/>
      <c r="AA135" s="51"/>
      <c r="AB135" s="51"/>
      <c r="AC135" s="54"/>
      <c r="AD135" s="54"/>
      <c r="AE135" s="54"/>
      <c r="AF135" s="54"/>
      <c r="AG135" s="54"/>
    </row>
    <row r="136" spans="1:33" s="41" customFormat="1" ht="12.75">
      <c r="A136" s="49"/>
      <c r="B136" s="50"/>
      <c r="C136" s="51"/>
      <c r="D136" s="52"/>
      <c r="E136" s="52"/>
      <c r="F136" s="52"/>
      <c r="T136" s="53"/>
      <c r="U136" s="53"/>
      <c r="V136" s="53"/>
      <c r="W136" s="53"/>
      <c r="X136" s="53"/>
      <c r="Y136" s="53"/>
      <c r="Z136" s="51"/>
      <c r="AA136" s="51"/>
      <c r="AB136" s="51"/>
      <c r="AC136" s="54"/>
      <c r="AD136" s="54"/>
      <c r="AE136" s="54"/>
      <c r="AF136" s="54"/>
      <c r="AG136" s="54"/>
    </row>
    <row r="137" spans="1:33" s="41" customFormat="1" ht="12.75">
      <c r="A137" s="49"/>
      <c r="B137" s="50"/>
      <c r="C137" s="51"/>
      <c r="D137" s="52"/>
      <c r="E137" s="52"/>
      <c r="F137" s="52"/>
      <c r="T137" s="53"/>
      <c r="U137" s="53"/>
      <c r="V137" s="53"/>
      <c r="W137" s="53"/>
      <c r="X137" s="53"/>
      <c r="Y137" s="53"/>
      <c r="Z137" s="51"/>
      <c r="AA137" s="51"/>
      <c r="AB137" s="51"/>
      <c r="AC137" s="54"/>
      <c r="AD137" s="54"/>
      <c r="AE137" s="54"/>
      <c r="AF137" s="54"/>
      <c r="AG137" s="54"/>
    </row>
    <row r="138" spans="1:33" s="41" customFormat="1" ht="12.75">
      <c r="A138" s="49"/>
      <c r="B138" s="50"/>
      <c r="C138" s="51"/>
      <c r="D138" s="52"/>
      <c r="E138" s="52"/>
      <c r="F138" s="52"/>
      <c r="T138" s="53"/>
      <c r="U138" s="53"/>
      <c r="V138" s="53"/>
      <c r="W138" s="53"/>
      <c r="X138" s="53"/>
      <c r="Y138" s="53"/>
      <c r="Z138" s="51"/>
      <c r="AA138" s="51"/>
      <c r="AB138" s="51"/>
      <c r="AC138" s="54"/>
      <c r="AD138" s="54"/>
      <c r="AE138" s="54"/>
      <c r="AF138" s="54"/>
      <c r="AG138" s="54"/>
    </row>
    <row r="139" spans="1:33" s="41" customFormat="1" ht="12.75">
      <c r="A139" s="49"/>
      <c r="B139" s="50"/>
      <c r="C139" s="51"/>
      <c r="D139" s="52"/>
      <c r="E139" s="52"/>
      <c r="F139" s="52"/>
      <c r="T139" s="53"/>
      <c r="U139" s="53"/>
      <c r="V139" s="53"/>
      <c r="W139" s="53"/>
      <c r="X139" s="53"/>
      <c r="Y139" s="53"/>
      <c r="Z139" s="51"/>
      <c r="AA139" s="51"/>
      <c r="AB139" s="51"/>
      <c r="AC139" s="54"/>
      <c r="AD139" s="54"/>
      <c r="AE139" s="54"/>
      <c r="AF139" s="54"/>
      <c r="AG139" s="54"/>
    </row>
    <row r="140" spans="1:33" s="41" customFormat="1" ht="12.75">
      <c r="A140" s="49"/>
      <c r="B140" s="50"/>
      <c r="C140" s="51"/>
      <c r="D140" s="52"/>
      <c r="E140" s="52"/>
      <c r="F140" s="52"/>
      <c r="T140" s="53"/>
      <c r="U140" s="53"/>
      <c r="V140" s="53"/>
      <c r="W140" s="53"/>
      <c r="X140" s="53"/>
      <c r="Y140" s="53"/>
      <c r="Z140" s="51"/>
      <c r="AA140" s="51"/>
      <c r="AB140" s="51"/>
      <c r="AC140" s="54"/>
      <c r="AD140" s="54"/>
      <c r="AE140" s="54"/>
      <c r="AF140" s="54"/>
      <c r="AG140" s="54"/>
    </row>
    <row r="141" spans="1:33" s="41" customFormat="1" ht="12.75">
      <c r="A141" s="49"/>
      <c r="B141" s="50"/>
      <c r="C141" s="51"/>
      <c r="D141" s="52"/>
      <c r="E141" s="52"/>
      <c r="F141" s="52"/>
      <c r="T141" s="53"/>
      <c r="U141" s="53"/>
      <c r="V141" s="53"/>
      <c r="W141" s="53"/>
      <c r="X141" s="53"/>
      <c r="Y141" s="53"/>
      <c r="Z141" s="51"/>
      <c r="AA141" s="51"/>
      <c r="AB141" s="51"/>
      <c r="AC141" s="54"/>
      <c r="AD141" s="54"/>
      <c r="AE141" s="54"/>
      <c r="AF141" s="54"/>
      <c r="AG141" s="54"/>
    </row>
    <row r="142" spans="1:33" s="41" customFormat="1" ht="12.75">
      <c r="A142" s="49"/>
      <c r="B142" s="50"/>
      <c r="C142" s="51"/>
      <c r="D142" s="52"/>
      <c r="E142" s="52"/>
      <c r="F142" s="52"/>
      <c r="T142" s="53"/>
      <c r="U142" s="53"/>
      <c r="V142" s="53"/>
      <c r="W142" s="53"/>
      <c r="X142" s="53"/>
      <c r="Y142" s="53"/>
      <c r="Z142" s="51"/>
      <c r="AA142" s="51"/>
      <c r="AB142" s="51"/>
      <c r="AC142" s="54"/>
      <c r="AD142" s="54"/>
      <c r="AE142" s="54"/>
      <c r="AF142" s="54"/>
      <c r="AG142" s="54"/>
    </row>
    <row r="143" spans="1:33" s="41" customFormat="1" ht="12.75">
      <c r="A143" s="49"/>
      <c r="B143" s="50"/>
      <c r="C143" s="51"/>
      <c r="D143" s="52"/>
      <c r="E143" s="52"/>
      <c r="F143" s="52"/>
      <c r="T143" s="53"/>
      <c r="U143" s="53"/>
      <c r="V143" s="53"/>
      <c r="W143" s="53"/>
      <c r="X143" s="53"/>
      <c r="Y143" s="53"/>
      <c r="Z143" s="51"/>
      <c r="AA143" s="51"/>
      <c r="AB143" s="51"/>
      <c r="AC143" s="54"/>
      <c r="AD143" s="54"/>
      <c r="AE143" s="54"/>
      <c r="AF143" s="54"/>
      <c r="AG143" s="54"/>
    </row>
    <row r="144" spans="1:33" s="41" customFormat="1" ht="12.75">
      <c r="A144" s="49"/>
      <c r="B144" s="50"/>
      <c r="C144" s="51"/>
      <c r="D144" s="52"/>
      <c r="E144" s="52"/>
      <c r="F144" s="52"/>
      <c r="T144" s="53"/>
      <c r="U144" s="53"/>
      <c r="V144" s="53"/>
      <c r="W144" s="53"/>
      <c r="X144" s="53"/>
      <c r="Y144" s="53"/>
      <c r="Z144" s="51"/>
      <c r="AA144" s="51"/>
      <c r="AB144" s="51"/>
      <c r="AC144" s="54"/>
      <c r="AD144" s="54"/>
      <c r="AE144" s="54"/>
      <c r="AF144" s="54"/>
      <c r="AG144" s="54"/>
    </row>
    <row r="145" spans="1:33" s="41" customFormat="1" ht="12.75">
      <c r="A145" s="49"/>
      <c r="B145" s="50"/>
      <c r="C145" s="51"/>
      <c r="D145" s="52"/>
      <c r="E145" s="52"/>
      <c r="F145" s="52"/>
      <c r="T145" s="53"/>
      <c r="U145" s="53"/>
      <c r="V145" s="53"/>
      <c r="W145" s="53"/>
      <c r="X145" s="53"/>
      <c r="Y145" s="53"/>
      <c r="Z145" s="51"/>
      <c r="AA145" s="51"/>
      <c r="AB145" s="51"/>
      <c r="AC145" s="54"/>
      <c r="AD145" s="54"/>
      <c r="AE145" s="54"/>
      <c r="AF145" s="54"/>
      <c r="AG145" s="54"/>
    </row>
    <row r="146" spans="1:33" s="41" customFormat="1" ht="12.75">
      <c r="A146" s="49"/>
      <c r="B146" s="50"/>
      <c r="C146" s="51"/>
      <c r="D146" s="52"/>
      <c r="E146" s="52"/>
      <c r="F146" s="52"/>
      <c r="T146" s="53"/>
      <c r="U146" s="53"/>
      <c r="V146" s="53"/>
      <c r="W146" s="53"/>
      <c r="X146" s="53"/>
      <c r="Y146" s="53"/>
      <c r="Z146" s="51"/>
      <c r="AA146" s="51"/>
      <c r="AB146" s="51"/>
      <c r="AC146" s="54"/>
      <c r="AD146" s="54"/>
      <c r="AE146" s="54"/>
      <c r="AF146" s="54"/>
      <c r="AG146" s="54"/>
    </row>
    <row r="147" spans="1:33" s="41" customFormat="1" ht="12.75">
      <c r="A147" s="49"/>
      <c r="B147" s="50"/>
      <c r="C147" s="51"/>
      <c r="D147" s="52"/>
      <c r="E147" s="52"/>
      <c r="F147" s="52"/>
      <c r="T147" s="53"/>
      <c r="U147" s="53"/>
      <c r="V147" s="53"/>
      <c r="W147" s="53"/>
      <c r="X147" s="53"/>
      <c r="Y147" s="53"/>
      <c r="Z147" s="51"/>
      <c r="AA147" s="51"/>
      <c r="AB147" s="51"/>
      <c r="AC147" s="54"/>
      <c r="AD147" s="54"/>
      <c r="AE147" s="54"/>
      <c r="AF147" s="54"/>
      <c r="AG147" s="54"/>
    </row>
    <row r="148" spans="1:33" s="41" customFormat="1" ht="12.75">
      <c r="A148" s="49"/>
      <c r="B148" s="50"/>
      <c r="C148" s="51"/>
      <c r="D148" s="52"/>
      <c r="E148" s="52"/>
      <c r="F148" s="52"/>
      <c r="T148" s="53"/>
      <c r="U148" s="53"/>
      <c r="V148" s="53"/>
      <c r="W148" s="53"/>
      <c r="X148" s="53"/>
      <c r="Y148" s="53"/>
      <c r="Z148" s="51"/>
      <c r="AA148" s="51"/>
      <c r="AB148" s="51"/>
      <c r="AC148" s="54"/>
      <c r="AD148" s="54"/>
      <c r="AE148" s="54"/>
      <c r="AF148" s="54"/>
      <c r="AG148" s="54"/>
    </row>
    <row r="149" spans="1:33" s="41" customFormat="1" ht="12.75">
      <c r="A149" s="49"/>
      <c r="B149" s="50"/>
      <c r="C149" s="51"/>
      <c r="D149" s="52"/>
      <c r="E149" s="52"/>
      <c r="F149" s="52"/>
      <c r="T149" s="53"/>
      <c r="U149" s="53"/>
      <c r="V149" s="53"/>
      <c r="W149" s="53"/>
      <c r="X149" s="53"/>
      <c r="Y149" s="53"/>
      <c r="Z149" s="51"/>
      <c r="AA149" s="51"/>
      <c r="AB149" s="51"/>
      <c r="AC149" s="54"/>
      <c r="AD149" s="54"/>
      <c r="AE149" s="54"/>
      <c r="AF149" s="54"/>
      <c r="AG149" s="54"/>
    </row>
    <row r="150" spans="1:33" s="41" customFormat="1" ht="12.75">
      <c r="A150" s="49"/>
      <c r="B150" s="50"/>
      <c r="C150" s="51"/>
      <c r="D150" s="52"/>
      <c r="E150" s="52"/>
      <c r="F150" s="52"/>
      <c r="T150" s="53"/>
      <c r="U150" s="53"/>
      <c r="V150" s="53"/>
      <c r="W150" s="53"/>
      <c r="X150" s="53"/>
      <c r="Y150" s="53"/>
      <c r="Z150" s="51"/>
      <c r="AA150" s="51"/>
      <c r="AB150" s="51"/>
      <c r="AC150" s="54"/>
      <c r="AD150" s="54"/>
      <c r="AE150" s="54"/>
      <c r="AF150" s="54"/>
      <c r="AG150" s="54"/>
    </row>
    <row r="151" spans="1:33" s="41" customFormat="1" ht="12.75">
      <c r="A151" s="49"/>
      <c r="B151" s="50"/>
      <c r="C151" s="51"/>
      <c r="D151" s="52"/>
      <c r="E151" s="52"/>
      <c r="F151" s="52"/>
      <c r="T151" s="53"/>
      <c r="U151" s="53"/>
      <c r="V151" s="53"/>
      <c r="W151" s="53"/>
      <c r="X151" s="53"/>
      <c r="Y151" s="53"/>
      <c r="Z151" s="51"/>
      <c r="AA151" s="51"/>
      <c r="AB151" s="51"/>
      <c r="AC151" s="54"/>
      <c r="AD151" s="54"/>
      <c r="AE151" s="54"/>
      <c r="AF151" s="54"/>
      <c r="AG151" s="54"/>
    </row>
    <row r="152" spans="1:33" s="41" customFormat="1" ht="12.75">
      <c r="A152" s="49"/>
      <c r="B152" s="50"/>
      <c r="C152" s="51"/>
      <c r="D152" s="52"/>
      <c r="E152" s="52"/>
      <c r="F152" s="52"/>
      <c r="T152" s="53"/>
      <c r="U152" s="53"/>
      <c r="V152" s="53"/>
      <c r="W152" s="53"/>
      <c r="X152" s="53"/>
      <c r="Y152" s="53"/>
      <c r="Z152" s="51"/>
      <c r="AA152" s="51"/>
      <c r="AB152" s="51"/>
      <c r="AC152" s="54"/>
      <c r="AD152" s="54"/>
      <c r="AE152" s="54"/>
      <c r="AF152" s="54"/>
      <c r="AG152" s="54"/>
    </row>
    <row r="153" spans="1:33" s="41" customFormat="1" ht="12.75">
      <c r="A153" s="49"/>
      <c r="B153" s="50"/>
      <c r="C153" s="51"/>
      <c r="D153" s="52"/>
      <c r="E153" s="52"/>
      <c r="F153" s="52"/>
      <c r="T153" s="53"/>
      <c r="U153" s="53"/>
      <c r="V153" s="53"/>
      <c r="W153" s="53"/>
      <c r="X153" s="53"/>
      <c r="Y153" s="53"/>
      <c r="Z153" s="51"/>
      <c r="AA153" s="51"/>
      <c r="AB153" s="51"/>
      <c r="AC153" s="54"/>
      <c r="AD153" s="54"/>
      <c r="AE153" s="54"/>
      <c r="AF153" s="54"/>
      <c r="AG153" s="54"/>
    </row>
    <row r="154" spans="1:33" s="41" customFormat="1" ht="12.75">
      <c r="A154" s="49"/>
      <c r="B154" s="50"/>
      <c r="C154" s="51"/>
      <c r="D154" s="52"/>
      <c r="E154" s="52"/>
      <c r="F154" s="52"/>
      <c r="T154" s="53"/>
      <c r="U154" s="53"/>
      <c r="V154" s="53"/>
      <c r="W154" s="53"/>
      <c r="X154" s="53"/>
      <c r="Y154" s="53"/>
      <c r="Z154" s="51"/>
      <c r="AA154" s="51"/>
      <c r="AB154" s="51"/>
      <c r="AC154" s="54"/>
      <c r="AD154" s="54"/>
      <c r="AE154" s="54"/>
      <c r="AF154" s="54"/>
      <c r="AG154" s="54"/>
    </row>
    <row r="155" spans="1:33" s="41" customFormat="1" ht="12.75">
      <c r="A155" s="49"/>
      <c r="B155" s="50"/>
      <c r="C155" s="51"/>
      <c r="D155" s="52"/>
      <c r="E155" s="52"/>
      <c r="F155" s="52"/>
      <c r="T155" s="53"/>
      <c r="U155" s="53"/>
      <c r="V155" s="53"/>
      <c r="W155" s="53"/>
      <c r="X155" s="53"/>
      <c r="Y155" s="53"/>
      <c r="Z155" s="51"/>
      <c r="AA155" s="51"/>
      <c r="AB155" s="51"/>
      <c r="AC155" s="54"/>
      <c r="AD155" s="54"/>
      <c r="AE155" s="54"/>
      <c r="AF155" s="54"/>
      <c r="AG155" s="54"/>
    </row>
    <row r="156" spans="3:25" ht="12.75">
      <c r="C156" s="56"/>
      <c r="D156" s="57"/>
      <c r="E156" s="57"/>
      <c r="F156" s="57"/>
      <c r="I156" s="48"/>
      <c r="R156" s="48"/>
      <c r="S156" s="48"/>
      <c r="T156" s="53"/>
      <c r="V156" s="53"/>
      <c r="W156" s="53"/>
      <c r="X156" s="53"/>
      <c r="Y156" s="53"/>
    </row>
    <row r="157" spans="3:25" ht="12.75">
      <c r="C157" s="56"/>
      <c r="D157" s="57"/>
      <c r="E157" s="57"/>
      <c r="F157" s="57"/>
      <c r="I157" s="48"/>
      <c r="R157" s="48"/>
      <c r="S157" s="48"/>
      <c r="T157" s="53"/>
      <c r="V157" s="53"/>
      <c r="W157" s="53"/>
      <c r="X157" s="53"/>
      <c r="Y157" s="53"/>
    </row>
    <row r="158" spans="3:25" ht="12.75">
      <c r="C158" s="56"/>
      <c r="D158" s="57"/>
      <c r="E158" s="57"/>
      <c r="F158" s="57"/>
      <c r="I158" s="48"/>
      <c r="R158" s="48"/>
      <c r="S158" s="48"/>
      <c r="T158" s="53"/>
      <c r="V158" s="53"/>
      <c r="W158" s="53"/>
      <c r="X158" s="53"/>
      <c r="Y158" s="53"/>
    </row>
    <row r="159" spans="3:25" ht="12.75">
      <c r="C159" s="56"/>
      <c r="D159" s="57"/>
      <c r="E159" s="57"/>
      <c r="F159" s="57"/>
      <c r="I159" s="48"/>
      <c r="R159" s="48"/>
      <c r="S159" s="48"/>
      <c r="T159" s="53"/>
      <c r="V159" s="53"/>
      <c r="W159" s="53"/>
      <c r="X159" s="53"/>
      <c r="Y159" s="53"/>
    </row>
    <row r="160" spans="3:25" ht="12.75">
      <c r="C160" s="56"/>
      <c r="D160" s="57"/>
      <c r="E160" s="57"/>
      <c r="F160" s="57"/>
      <c r="I160" s="48"/>
      <c r="R160" s="48"/>
      <c r="S160" s="48"/>
      <c r="T160" s="53"/>
      <c r="V160" s="53"/>
      <c r="W160" s="53"/>
      <c r="X160" s="53"/>
      <c r="Y160" s="53"/>
    </row>
    <row r="161" spans="3:25" ht="12.75">
      <c r="C161" s="56"/>
      <c r="D161" s="57"/>
      <c r="E161" s="57"/>
      <c r="F161" s="57"/>
      <c r="I161" s="48"/>
      <c r="R161" s="48"/>
      <c r="S161" s="48"/>
      <c r="T161" s="53"/>
      <c r="V161" s="53"/>
      <c r="W161" s="53"/>
      <c r="X161" s="53"/>
      <c r="Y161" s="53"/>
    </row>
    <row r="162" spans="3:25" ht="12.75">
      <c r="C162" s="56"/>
      <c r="D162" s="57"/>
      <c r="E162" s="57"/>
      <c r="F162" s="57"/>
      <c r="I162" s="48"/>
      <c r="R162" s="48"/>
      <c r="S162" s="48"/>
      <c r="T162" s="53"/>
      <c r="V162" s="53"/>
      <c r="W162" s="53"/>
      <c r="X162" s="53"/>
      <c r="Y162" s="53"/>
    </row>
    <row r="163" spans="3:25" ht="12.75">
      <c r="C163" s="56"/>
      <c r="D163" s="57"/>
      <c r="E163" s="57"/>
      <c r="F163" s="57"/>
      <c r="I163" s="48"/>
      <c r="R163" s="48"/>
      <c r="S163" s="48"/>
      <c r="T163" s="53"/>
      <c r="V163" s="53"/>
      <c r="W163" s="53"/>
      <c r="X163" s="53"/>
      <c r="Y163" s="53"/>
    </row>
    <row r="164" spans="3:25" ht="12.75">
      <c r="C164" s="56"/>
      <c r="D164" s="57"/>
      <c r="E164" s="57"/>
      <c r="F164" s="57"/>
      <c r="I164" s="48"/>
      <c r="R164" s="48"/>
      <c r="S164" s="48"/>
      <c r="T164" s="53"/>
      <c r="V164" s="53"/>
      <c r="W164" s="53"/>
      <c r="X164" s="53"/>
      <c r="Y164" s="53"/>
    </row>
    <row r="165" spans="3:25" ht="12.75">
      <c r="C165" s="56"/>
      <c r="D165" s="57"/>
      <c r="E165" s="57"/>
      <c r="F165" s="57"/>
      <c r="I165" s="48"/>
      <c r="R165" s="48"/>
      <c r="S165" s="48"/>
      <c r="T165" s="53"/>
      <c r="V165" s="53"/>
      <c r="W165" s="53"/>
      <c r="X165" s="53"/>
      <c r="Y165" s="53"/>
    </row>
    <row r="166" spans="3:25" ht="12.75">
      <c r="C166" s="56"/>
      <c r="D166" s="57"/>
      <c r="E166" s="57"/>
      <c r="F166" s="57"/>
      <c r="I166" s="48"/>
      <c r="R166" s="48"/>
      <c r="S166" s="48"/>
      <c r="T166" s="53"/>
      <c r="V166" s="53"/>
      <c r="W166" s="53"/>
      <c r="X166" s="53"/>
      <c r="Y166" s="53"/>
    </row>
    <row r="167" spans="3:25" ht="12.75">
      <c r="C167" s="56"/>
      <c r="D167" s="57"/>
      <c r="E167" s="57"/>
      <c r="F167" s="57"/>
      <c r="I167" s="48"/>
      <c r="R167" s="48"/>
      <c r="S167" s="48"/>
      <c r="T167" s="53"/>
      <c r="V167" s="53"/>
      <c r="W167" s="53"/>
      <c r="X167" s="53"/>
      <c r="Y167" s="53"/>
    </row>
    <row r="168" spans="3:25" ht="12.75">
      <c r="C168" s="56"/>
      <c r="D168" s="57"/>
      <c r="E168" s="57"/>
      <c r="F168" s="57"/>
      <c r="I168" s="48"/>
      <c r="R168" s="48"/>
      <c r="S168" s="48"/>
      <c r="T168" s="53"/>
      <c r="V168" s="53"/>
      <c r="W168" s="53"/>
      <c r="X168" s="53"/>
      <c r="Y168" s="53"/>
    </row>
    <row r="169" spans="3:25" ht="12.75">
      <c r="C169" s="56"/>
      <c r="D169" s="57"/>
      <c r="E169" s="57"/>
      <c r="F169" s="57"/>
      <c r="I169" s="48"/>
      <c r="R169" s="48"/>
      <c r="S169" s="48"/>
      <c r="T169" s="53"/>
      <c r="V169" s="53"/>
      <c r="W169" s="53"/>
      <c r="X169" s="53"/>
      <c r="Y169" s="53"/>
    </row>
    <row r="170" spans="3:25" ht="12.75">
      <c r="C170" s="56"/>
      <c r="D170" s="57"/>
      <c r="E170" s="57"/>
      <c r="F170" s="57"/>
      <c r="I170" s="48"/>
      <c r="R170" s="48"/>
      <c r="S170" s="48"/>
      <c r="T170" s="53"/>
      <c r="V170" s="53"/>
      <c r="W170" s="53"/>
      <c r="X170" s="53"/>
      <c r="Y170" s="53"/>
    </row>
    <row r="171" spans="3:25" ht="12.75">
      <c r="C171" s="56"/>
      <c r="D171" s="57"/>
      <c r="E171" s="57"/>
      <c r="F171" s="57"/>
      <c r="I171" s="48"/>
      <c r="R171" s="48"/>
      <c r="S171" s="48"/>
      <c r="T171" s="53"/>
      <c r="V171" s="53"/>
      <c r="W171" s="53"/>
      <c r="X171" s="53"/>
      <c r="Y171" s="53"/>
    </row>
    <row r="172" spans="3:25" ht="12.75">
      <c r="C172" s="56"/>
      <c r="D172" s="57"/>
      <c r="E172" s="57"/>
      <c r="F172" s="57"/>
      <c r="I172" s="48"/>
      <c r="R172" s="48"/>
      <c r="S172" s="48"/>
      <c r="T172" s="53"/>
      <c r="V172" s="53"/>
      <c r="W172" s="53"/>
      <c r="X172" s="53"/>
      <c r="Y172" s="53"/>
    </row>
    <row r="173" spans="3:25" ht="12.75">
      <c r="C173" s="56"/>
      <c r="D173" s="57"/>
      <c r="E173" s="57"/>
      <c r="F173" s="57"/>
      <c r="I173" s="48"/>
      <c r="R173" s="48"/>
      <c r="S173" s="48"/>
      <c r="T173" s="53"/>
      <c r="V173" s="53"/>
      <c r="W173" s="53"/>
      <c r="X173" s="53"/>
      <c r="Y173" s="53"/>
    </row>
    <row r="174" spans="3:25" ht="12.75">
      <c r="C174" s="56"/>
      <c r="D174" s="57"/>
      <c r="E174" s="57"/>
      <c r="F174" s="57"/>
      <c r="I174" s="48"/>
      <c r="R174" s="48"/>
      <c r="S174" s="48"/>
      <c r="T174" s="53"/>
      <c r="V174" s="53"/>
      <c r="W174" s="53"/>
      <c r="X174" s="53"/>
      <c r="Y174" s="53"/>
    </row>
    <row r="175" spans="3:25" ht="12.75">
      <c r="C175" s="56"/>
      <c r="D175" s="57"/>
      <c r="E175" s="57"/>
      <c r="F175" s="57"/>
      <c r="I175" s="48"/>
      <c r="R175" s="48"/>
      <c r="S175" s="48"/>
      <c r="T175" s="53"/>
      <c r="V175" s="53"/>
      <c r="W175" s="53"/>
      <c r="X175" s="53"/>
      <c r="Y175" s="53"/>
    </row>
    <row r="176" spans="3:25" ht="12.75">
      <c r="C176" s="56"/>
      <c r="D176" s="57"/>
      <c r="E176" s="57"/>
      <c r="F176" s="57"/>
      <c r="I176" s="48"/>
      <c r="R176" s="48"/>
      <c r="S176" s="48"/>
      <c r="T176" s="53"/>
      <c r="V176" s="53"/>
      <c r="W176" s="53"/>
      <c r="X176" s="53"/>
      <c r="Y176" s="53"/>
    </row>
    <row r="177" spans="3:25" ht="12.75">
      <c r="C177" s="56"/>
      <c r="D177" s="57"/>
      <c r="E177" s="57"/>
      <c r="F177" s="57"/>
      <c r="I177" s="48"/>
      <c r="R177" s="48"/>
      <c r="S177" s="48"/>
      <c r="T177" s="53"/>
      <c r="V177" s="53"/>
      <c r="W177" s="53"/>
      <c r="X177" s="53"/>
      <c r="Y177" s="53"/>
    </row>
    <row r="178" spans="3:25" ht="12.75">
      <c r="C178" s="56"/>
      <c r="D178" s="57"/>
      <c r="E178" s="57"/>
      <c r="F178" s="57"/>
      <c r="I178" s="48"/>
      <c r="R178" s="48"/>
      <c r="S178" s="48"/>
      <c r="T178" s="53"/>
      <c r="V178" s="53"/>
      <c r="W178" s="53"/>
      <c r="X178" s="53"/>
      <c r="Y178" s="53"/>
    </row>
    <row r="179" spans="3:25" ht="12.75">
      <c r="C179" s="56"/>
      <c r="D179" s="57"/>
      <c r="E179" s="57"/>
      <c r="F179" s="57"/>
      <c r="I179" s="48"/>
      <c r="R179" s="48"/>
      <c r="S179" s="48"/>
      <c r="T179" s="53"/>
      <c r="V179" s="53"/>
      <c r="W179" s="53"/>
      <c r="X179" s="53"/>
      <c r="Y179" s="53"/>
    </row>
    <row r="180" spans="3:25" ht="12.75">
      <c r="C180" s="56"/>
      <c r="D180" s="57"/>
      <c r="E180" s="57"/>
      <c r="F180" s="57"/>
      <c r="I180" s="48"/>
      <c r="R180" s="48"/>
      <c r="S180" s="48"/>
      <c r="T180" s="53"/>
      <c r="V180" s="53"/>
      <c r="W180" s="53"/>
      <c r="X180" s="53"/>
      <c r="Y180" s="53"/>
    </row>
    <row r="181" spans="3:25" ht="12.75">
      <c r="C181" s="56"/>
      <c r="D181" s="57"/>
      <c r="E181" s="57"/>
      <c r="F181" s="57"/>
      <c r="I181" s="48"/>
      <c r="R181" s="48"/>
      <c r="S181" s="48"/>
      <c r="T181" s="53"/>
      <c r="V181" s="53"/>
      <c r="W181" s="53"/>
      <c r="X181" s="53"/>
      <c r="Y181" s="53"/>
    </row>
    <row r="182" spans="3:25" ht="12.75">
      <c r="C182" s="56"/>
      <c r="D182" s="57"/>
      <c r="E182" s="57"/>
      <c r="F182" s="57"/>
      <c r="I182" s="48"/>
      <c r="R182" s="48"/>
      <c r="S182" s="48"/>
      <c r="T182" s="53"/>
      <c r="V182" s="53"/>
      <c r="W182" s="53"/>
      <c r="X182" s="53"/>
      <c r="Y182" s="53"/>
    </row>
    <row r="183" spans="1:25" ht="12.75">
      <c r="A183" s="16"/>
      <c r="C183" s="56"/>
      <c r="D183" s="57"/>
      <c r="E183" s="57"/>
      <c r="F183" s="57"/>
      <c r="I183" s="48"/>
      <c r="R183" s="48"/>
      <c r="S183" s="48"/>
      <c r="T183" s="53"/>
      <c r="V183" s="53"/>
      <c r="W183" s="53"/>
      <c r="X183" s="53"/>
      <c r="Y183" s="53"/>
    </row>
    <row r="184" spans="1:25" ht="12.75">
      <c r="A184" s="16"/>
      <c r="C184" s="56"/>
      <c r="D184" s="57"/>
      <c r="E184" s="57"/>
      <c r="F184" s="57"/>
      <c r="I184" s="48"/>
      <c r="R184" s="48"/>
      <c r="S184" s="48"/>
      <c r="T184" s="53"/>
      <c r="V184" s="53"/>
      <c r="W184" s="53"/>
      <c r="X184" s="53"/>
      <c r="Y184" s="53"/>
    </row>
    <row r="185" spans="1:25" ht="12.75">
      <c r="A185" s="16"/>
      <c r="C185" s="56"/>
      <c r="D185" s="57"/>
      <c r="E185" s="57"/>
      <c r="F185" s="57"/>
      <c r="I185" s="48"/>
      <c r="R185" s="48"/>
      <c r="S185" s="48"/>
      <c r="T185" s="53"/>
      <c r="V185" s="53"/>
      <c r="W185" s="53"/>
      <c r="X185" s="53"/>
      <c r="Y185" s="53"/>
    </row>
    <row r="186" spans="1:25" ht="12.75">
      <c r="A186" s="16"/>
      <c r="C186" s="56"/>
      <c r="D186" s="57"/>
      <c r="E186" s="57"/>
      <c r="F186" s="57"/>
      <c r="I186" s="48"/>
      <c r="R186" s="48"/>
      <c r="S186" s="48"/>
      <c r="T186" s="53"/>
      <c r="V186" s="53"/>
      <c r="W186" s="53"/>
      <c r="X186" s="53"/>
      <c r="Y186" s="53"/>
    </row>
    <row r="187" spans="1:25" ht="12.75">
      <c r="A187" s="16"/>
      <c r="C187" s="56"/>
      <c r="D187" s="57"/>
      <c r="E187" s="57"/>
      <c r="F187" s="57"/>
      <c r="I187" s="48"/>
      <c r="R187" s="48"/>
      <c r="S187" s="48"/>
      <c r="T187" s="53"/>
      <c r="V187" s="53"/>
      <c r="W187" s="53"/>
      <c r="X187" s="53"/>
      <c r="Y187" s="53"/>
    </row>
    <row r="188" spans="1:25" ht="12.75">
      <c r="A188" s="16"/>
      <c r="C188" s="56"/>
      <c r="D188" s="57"/>
      <c r="E188" s="57"/>
      <c r="F188" s="57"/>
      <c r="I188" s="48"/>
      <c r="R188" s="48"/>
      <c r="S188" s="48"/>
      <c r="T188" s="53"/>
      <c r="V188" s="53"/>
      <c r="W188" s="53"/>
      <c r="X188" s="53"/>
      <c r="Y188" s="53"/>
    </row>
    <row r="189" spans="1:25" ht="12.75">
      <c r="A189" s="16"/>
      <c r="C189" s="56"/>
      <c r="D189" s="57"/>
      <c r="E189" s="57"/>
      <c r="F189" s="57"/>
      <c r="I189" s="48"/>
      <c r="R189" s="48"/>
      <c r="S189" s="48"/>
      <c r="T189" s="53"/>
      <c r="V189" s="53"/>
      <c r="W189" s="53"/>
      <c r="X189" s="53"/>
      <c r="Y189" s="53"/>
    </row>
    <row r="190" spans="1:25" ht="12.75">
      <c r="A190" s="16"/>
      <c r="C190" s="56"/>
      <c r="D190" s="57"/>
      <c r="E190" s="57"/>
      <c r="F190" s="57"/>
      <c r="I190" s="48"/>
      <c r="R190" s="48"/>
      <c r="S190" s="48"/>
      <c r="T190" s="53"/>
      <c r="V190" s="53"/>
      <c r="W190" s="53"/>
      <c r="X190" s="53"/>
      <c r="Y190" s="53"/>
    </row>
    <row r="191" spans="1:25" ht="12.75">
      <c r="A191" s="16"/>
      <c r="C191" s="56"/>
      <c r="D191" s="57"/>
      <c r="E191" s="57"/>
      <c r="F191" s="57"/>
      <c r="I191" s="48"/>
      <c r="R191" s="48"/>
      <c r="S191" s="48"/>
      <c r="T191" s="53"/>
      <c r="V191" s="53"/>
      <c r="W191" s="53"/>
      <c r="X191" s="53"/>
      <c r="Y191" s="53"/>
    </row>
    <row r="192" spans="1:25" ht="12.75">
      <c r="A192" s="16"/>
      <c r="C192" s="56"/>
      <c r="D192" s="57"/>
      <c r="E192" s="57"/>
      <c r="F192" s="57"/>
      <c r="I192" s="48"/>
      <c r="R192" s="48"/>
      <c r="S192" s="48"/>
      <c r="T192" s="53"/>
      <c r="V192" s="53"/>
      <c r="W192" s="53"/>
      <c r="X192" s="53"/>
      <c r="Y192" s="53"/>
    </row>
    <row r="193" spans="1:25" ht="12.75">
      <c r="A193" s="16"/>
      <c r="C193" s="56"/>
      <c r="D193" s="57"/>
      <c r="E193" s="57"/>
      <c r="F193" s="57"/>
      <c r="I193" s="48"/>
      <c r="R193" s="48"/>
      <c r="S193" s="48"/>
      <c r="T193" s="53"/>
      <c r="V193" s="53"/>
      <c r="W193" s="53"/>
      <c r="X193" s="53"/>
      <c r="Y193" s="53"/>
    </row>
    <row r="194" spans="1:25" ht="12.75">
      <c r="A194" s="16"/>
      <c r="C194" s="56"/>
      <c r="D194" s="57"/>
      <c r="E194" s="57"/>
      <c r="F194" s="57"/>
      <c r="I194" s="48"/>
      <c r="R194" s="48"/>
      <c r="S194" s="48"/>
      <c r="T194" s="53"/>
      <c r="V194" s="53"/>
      <c r="W194" s="53"/>
      <c r="X194" s="53"/>
      <c r="Y194" s="53"/>
    </row>
    <row r="195" spans="1:25" ht="12.75">
      <c r="A195" s="16"/>
      <c r="C195" s="56"/>
      <c r="D195" s="57"/>
      <c r="E195" s="57"/>
      <c r="F195" s="57"/>
      <c r="I195" s="48"/>
      <c r="R195" s="48"/>
      <c r="S195" s="48"/>
      <c r="T195" s="53"/>
      <c r="V195" s="53"/>
      <c r="W195" s="53"/>
      <c r="X195" s="53"/>
      <c r="Y195" s="53"/>
    </row>
    <row r="196" spans="1:25" ht="12.75">
      <c r="A196" s="16"/>
      <c r="C196" s="56"/>
      <c r="D196" s="57"/>
      <c r="E196" s="57"/>
      <c r="F196" s="57"/>
      <c r="I196" s="48"/>
      <c r="R196" s="48"/>
      <c r="S196" s="48"/>
      <c r="T196" s="53"/>
      <c r="V196" s="53"/>
      <c r="W196" s="53"/>
      <c r="X196" s="53"/>
      <c r="Y196" s="53"/>
    </row>
    <row r="197" spans="1:25" ht="12.75">
      <c r="A197" s="16"/>
      <c r="C197" s="56"/>
      <c r="D197" s="57"/>
      <c r="E197" s="57"/>
      <c r="F197" s="57"/>
      <c r="I197" s="48"/>
      <c r="R197" s="48"/>
      <c r="S197" s="48"/>
      <c r="T197" s="53"/>
      <c r="V197" s="53"/>
      <c r="W197" s="53"/>
      <c r="X197" s="53"/>
      <c r="Y197" s="53"/>
    </row>
    <row r="198" spans="1:25" ht="12.75">
      <c r="A198" s="16"/>
      <c r="C198" s="56"/>
      <c r="D198" s="57"/>
      <c r="E198" s="57"/>
      <c r="F198" s="57"/>
      <c r="I198" s="48"/>
      <c r="R198" s="48"/>
      <c r="S198" s="48"/>
      <c r="T198" s="53"/>
      <c r="V198" s="53"/>
      <c r="W198" s="53"/>
      <c r="X198" s="53"/>
      <c r="Y198" s="53"/>
    </row>
    <row r="199" spans="1:25" ht="12.75">
      <c r="A199" s="16"/>
      <c r="C199" s="56"/>
      <c r="D199" s="57"/>
      <c r="E199" s="57"/>
      <c r="F199" s="57"/>
      <c r="I199" s="48"/>
      <c r="R199" s="48"/>
      <c r="S199" s="48"/>
      <c r="T199" s="53"/>
      <c r="V199" s="53"/>
      <c r="W199" s="53"/>
      <c r="X199" s="53"/>
      <c r="Y199" s="53"/>
    </row>
    <row r="200" spans="1:25" ht="12.75">
      <c r="A200" s="16"/>
      <c r="C200" s="56"/>
      <c r="D200" s="57"/>
      <c r="E200" s="57"/>
      <c r="F200" s="57"/>
      <c r="I200" s="48"/>
      <c r="R200" s="48"/>
      <c r="S200" s="48"/>
      <c r="T200" s="53"/>
      <c r="V200" s="53"/>
      <c r="W200" s="53"/>
      <c r="X200" s="53"/>
      <c r="Y200" s="53"/>
    </row>
    <row r="201" spans="1:25" ht="12.75">
      <c r="A201" s="16"/>
      <c r="C201" s="56"/>
      <c r="D201" s="57"/>
      <c r="E201" s="57"/>
      <c r="F201" s="57"/>
      <c r="I201" s="48"/>
      <c r="R201" s="48"/>
      <c r="S201" s="48"/>
      <c r="T201" s="53"/>
      <c r="V201" s="53"/>
      <c r="W201" s="53"/>
      <c r="X201" s="53"/>
      <c r="Y201" s="53"/>
    </row>
    <row r="202" spans="1:25" ht="12.75">
      <c r="A202" s="16"/>
      <c r="C202" s="56"/>
      <c r="D202" s="57"/>
      <c r="E202" s="57"/>
      <c r="F202" s="57"/>
      <c r="I202" s="48"/>
      <c r="R202" s="48"/>
      <c r="S202" s="48"/>
      <c r="T202" s="53"/>
      <c r="V202" s="53"/>
      <c r="W202" s="53"/>
      <c r="X202" s="53"/>
      <c r="Y202" s="53"/>
    </row>
    <row r="203" spans="1:25" ht="12.75">
      <c r="A203" s="16"/>
      <c r="C203" s="56"/>
      <c r="D203" s="57"/>
      <c r="E203" s="57"/>
      <c r="F203" s="57"/>
      <c r="I203" s="48"/>
      <c r="R203" s="48"/>
      <c r="S203" s="48"/>
      <c r="T203" s="53"/>
      <c r="V203" s="53"/>
      <c r="W203" s="53"/>
      <c r="X203" s="53"/>
      <c r="Y203" s="53"/>
    </row>
    <row r="204" spans="1:25" ht="12.75">
      <c r="A204" s="16"/>
      <c r="C204" s="56"/>
      <c r="D204" s="57"/>
      <c r="E204" s="57"/>
      <c r="F204" s="57"/>
      <c r="I204" s="48"/>
      <c r="R204" s="48"/>
      <c r="S204" s="48"/>
      <c r="T204" s="53"/>
      <c r="V204" s="53"/>
      <c r="W204" s="53"/>
      <c r="X204" s="53"/>
      <c r="Y204" s="53"/>
    </row>
    <row r="205" spans="1:25" ht="12.75">
      <c r="A205" s="16"/>
      <c r="C205" s="56"/>
      <c r="D205" s="57"/>
      <c r="E205" s="57"/>
      <c r="F205" s="57"/>
      <c r="I205" s="48"/>
      <c r="R205" s="48"/>
      <c r="S205" s="48"/>
      <c r="T205" s="53"/>
      <c r="V205" s="53"/>
      <c r="W205" s="53"/>
      <c r="X205" s="53"/>
      <c r="Y205" s="53"/>
    </row>
    <row r="206" spans="1:25" ht="12.75">
      <c r="A206" s="16"/>
      <c r="C206" s="56"/>
      <c r="D206" s="57"/>
      <c r="E206" s="57"/>
      <c r="F206" s="57"/>
      <c r="I206" s="48"/>
      <c r="R206" s="48"/>
      <c r="S206" s="48"/>
      <c r="T206" s="53"/>
      <c r="V206" s="53"/>
      <c r="W206" s="53"/>
      <c r="X206" s="53"/>
      <c r="Y206" s="53"/>
    </row>
    <row r="207" spans="1:25" ht="12.75">
      <c r="A207" s="16"/>
      <c r="C207" s="56"/>
      <c r="D207" s="57"/>
      <c r="E207" s="57"/>
      <c r="F207" s="57"/>
      <c r="I207" s="48"/>
      <c r="R207" s="48"/>
      <c r="S207" s="48"/>
      <c r="T207" s="53"/>
      <c r="V207" s="53"/>
      <c r="W207" s="53"/>
      <c r="X207" s="53"/>
      <c r="Y207" s="53"/>
    </row>
    <row r="208" spans="1:25" ht="12.75">
      <c r="A208" s="16"/>
      <c r="C208" s="56"/>
      <c r="D208" s="57"/>
      <c r="E208" s="57"/>
      <c r="F208" s="57"/>
      <c r="I208" s="48"/>
      <c r="R208" s="48"/>
      <c r="S208" s="48"/>
      <c r="T208" s="53"/>
      <c r="V208" s="53"/>
      <c r="W208" s="53"/>
      <c r="X208" s="53"/>
      <c r="Y208" s="53"/>
    </row>
    <row r="209" spans="1:25" ht="12.75">
      <c r="A209" s="16"/>
      <c r="C209" s="56"/>
      <c r="D209" s="57"/>
      <c r="E209" s="57"/>
      <c r="F209" s="57"/>
      <c r="I209" s="48"/>
      <c r="R209" s="48"/>
      <c r="S209" s="48"/>
      <c r="T209" s="53"/>
      <c r="V209" s="53"/>
      <c r="W209" s="53"/>
      <c r="X209" s="53"/>
      <c r="Y209" s="53"/>
    </row>
    <row r="210" spans="1:25" ht="12.75">
      <c r="A210" s="16"/>
      <c r="C210" s="56"/>
      <c r="D210" s="57"/>
      <c r="E210" s="57"/>
      <c r="F210" s="57"/>
      <c r="I210" s="48"/>
      <c r="R210" s="48"/>
      <c r="S210" s="48"/>
      <c r="T210" s="53"/>
      <c r="V210" s="53"/>
      <c r="W210" s="53"/>
      <c r="X210" s="53"/>
      <c r="Y210" s="53"/>
    </row>
    <row r="211" spans="1:25" ht="12.75">
      <c r="A211" s="16"/>
      <c r="C211" s="56"/>
      <c r="D211" s="57"/>
      <c r="E211" s="57"/>
      <c r="F211" s="57"/>
      <c r="I211" s="48"/>
      <c r="R211" s="48"/>
      <c r="S211" s="48"/>
      <c r="T211" s="53"/>
      <c r="V211" s="53"/>
      <c r="W211" s="53"/>
      <c r="X211" s="53"/>
      <c r="Y211" s="53"/>
    </row>
    <row r="212" spans="1:25" ht="12.75">
      <c r="A212" s="16"/>
      <c r="C212" s="56"/>
      <c r="D212" s="57"/>
      <c r="E212" s="57"/>
      <c r="F212" s="57"/>
      <c r="I212" s="48"/>
      <c r="R212" s="48"/>
      <c r="S212" s="48"/>
      <c r="T212" s="53"/>
      <c r="V212" s="53"/>
      <c r="W212" s="53"/>
      <c r="X212" s="53"/>
      <c r="Y212" s="53"/>
    </row>
    <row r="213" spans="1:25" ht="12.75">
      <c r="A213" s="16"/>
      <c r="C213" s="56"/>
      <c r="D213" s="57"/>
      <c r="E213" s="57"/>
      <c r="F213" s="57"/>
      <c r="I213" s="48"/>
      <c r="R213" s="48"/>
      <c r="S213" s="48"/>
      <c r="T213" s="53"/>
      <c r="V213" s="53"/>
      <c r="W213" s="53"/>
      <c r="X213" s="53"/>
      <c r="Y213" s="53"/>
    </row>
    <row r="214" spans="1:25" ht="12.75">
      <c r="A214" s="16"/>
      <c r="C214" s="56"/>
      <c r="D214" s="57"/>
      <c r="E214" s="57"/>
      <c r="F214" s="57"/>
      <c r="I214" s="48"/>
      <c r="R214" s="48"/>
      <c r="S214" s="48"/>
      <c r="T214" s="53"/>
      <c r="V214" s="53"/>
      <c r="W214" s="53"/>
      <c r="X214" s="53"/>
      <c r="Y214" s="53"/>
    </row>
    <row r="215" spans="1:25" ht="12.75">
      <c r="A215" s="16"/>
      <c r="C215" s="56"/>
      <c r="D215" s="57"/>
      <c r="E215" s="57"/>
      <c r="F215" s="57"/>
      <c r="I215" s="48"/>
      <c r="R215" s="48"/>
      <c r="S215" s="48"/>
      <c r="T215" s="53"/>
      <c r="V215" s="53"/>
      <c r="W215" s="53"/>
      <c r="X215" s="53"/>
      <c r="Y215" s="53"/>
    </row>
    <row r="216" spans="1:25" ht="12.75">
      <c r="A216" s="16"/>
      <c r="C216" s="56"/>
      <c r="D216" s="57"/>
      <c r="E216" s="57"/>
      <c r="F216" s="57"/>
      <c r="I216" s="48"/>
      <c r="R216" s="48"/>
      <c r="S216" s="48"/>
      <c r="T216" s="53"/>
      <c r="V216" s="53"/>
      <c r="W216" s="53"/>
      <c r="X216" s="53"/>
      <c r="Y216" s="53"/>
    </row>
    <row r="217" spans="1:25" ht="12.75">
      <c r="A217" s="16"/>
      <c r="C217" s="56"/>
      <c r="D217" s="57"/>
      <c r="E217" s="57"/>
      <c r="F217" s="57"/>
      <c r="I217" s="48"/>
      <c r="R217" s="48"/>
      <c r="S217" s="48"/>
      <c r="T217" s="53"/>
      <c r="V217" s="53"/>
      <c r="W217" s="53"/>
      <c r="X217" s="53"/>
      <c r="Y217" s="53"/>
    </row>
    <row r="218" spans="1:25" ht="12.75">
      <c r="A218" s="16"/>
      <c r="C218" s="56"/>
      <c r="D218" s="57"/>
      <c r="E218" s="57"/>
      <c r="F218" s="57"/>
      <c r="I218" s="48"/>
      <c r="R218" s="48"/>
      <c r="S218" s="48"/>
      <c r="T218" s="53"/>
      <c r="V218" s="53"/>
      <c r="W218" s="53"/>
      <c r="X218" s="53"/>
      <c r="Y218" s="53"/>
    </row>
    <row r="219" spans="1:25" ht="12.75">
      <c r="A219" s="16"/>
      <c r="C219" s="56"/>
      <c r="D219" s="57"/>
      <c r="E219" s="57"/>
      <c r="F219" s="57"/>
      <c r="I219" s="48"/>
      <c r="R219" s="48"/>
      <c r="S219" s="48"/>
      <c r="T219" s="53"/>
      <c r="V219" s="53"/>
      <c r="W219" s="53"/>
      <c r="X219" s="53"/>
      <c r="Y219" s="53"/>
    </row>
    <row r="220" spans="1:25" ht="12.75">
      <c r="A220" s="16"/>
      <c r="C220" s="56"/>
      <c r="D220" s="57"/>
      <c r="E220" s="57"/>
      <c r="F220" s="57"/>
      <c r="I220" s="48"/>
      <c r="R220" s="48"/>
      <c r="S220" s="48"/>
      <c r="T220" s="53"/>
      <c r="V220" s="53"/>
      <c r="W220" s="53"/>
      <c r="X220" s="53"/>
      <c r="Y220" s="53"/>
    </row>
    <row r="221" spans="1:25" ht="12.75">
      <c r="A221" s="16"/>
      <c r="C221" s="56"/>
      <c r="D221" s="57"/>
      <c r="E221" s="57"/>
      <c r="F221" s="57"/>
      <c r="I221" s="48"/>
      <c r="R221" s="48"/>
      <c r="S221" s="48"/>
      <c r="T221" s="53"/>
      <c r="V221" s="53"/>
      <c r="W221" s="53"/>
      <c r="X221" s="53"/>
      <c r="Y221" s="53"/>
    </row>
    <row r="222" spans="1:25" ht="12.75">
      <c r="A222" s="16"/>
      <c r="C222" s="56"/>
      <c r="D222" s="57"/>
      <c r="E222" s="57"/>
      <c r="F222" s="57"/>
      <c r="I222" s="48"/>
      <c r="R222" s="48"/>
      <c r="S222" s="48"/>
      <c r="T222" s="53"/>
      <c r="V222" s="53"/>
      <c r="W222" s="53"/>
      <c r="X222" s="53"/>
      <c r="Y222" s="53"/>
    </row>
    <row r="223" spans="1:25" ht="12.75">
      <c r="A223" s="16"/>
      <c r="C223" s="56"/>
      <c r="D223" s="57"/>
      <c r="E223" s="57"/>
      <c r="F223" s="57"/>
      <c r="I223" s="48"/>
      <c r="R223" s="48"/>
      <c r="S223" s="48"/>
      <c r="T223" s="53"/>
      <c r="V223" s="53"/>
      <c r="W223" s="53"/>
      <c r="X223" s="53"/>
      <c r="Y223" s="53"/>
    </row>
    <row r="224" spans="1:25" ht="12.75">
      <c r="A224" s="16"/>
      <c r="C224" s="56"/>
      <c r="D224" s="57"/>
      <c r="E224" s="57"/>
      <c r="F224" s="57"/>
      <c r="I224" s="48"/>
      <c r="R224" s="48"/>
      <c r="S224" s="48"/>
      <c r="T224" s="53"/>
      <c r="V224" s="53"/>
      <c r="W224" s="53"/>
      <c r="X224" s="53"/>
      <c r="Y224" s="53"/>
    </row>
    <row r="225" spans="1:25" ht="12.75">
      <c r="A225" s="16"/>
      <c r="C225" s="56"/>
      <c r="D225" s="57"/>
      <c r="E225" s="57"/>
      <c r="F225" s="57"/>
      <c r="I225" s="48"/>
      <c r="R225" s="48"/>
      <c r="S225" s="48"/>
      <c r="T225" s="53"/>
      <c r="V225" s="53"/>
      <c r="W225" s="53"/>
      <c r="X225" s="53"/>
      <c r="Y225" s="53"/>
    </row>
    <row r="226" spans="1:25" ht="12.75">
      <c r="A226" s="16"/>
      <c r="C226" s="56"/>
      <c r="D226" s="57"/>
      <c r="E226" s="57"/>
      <c r="F226" s="57"/>
      <c r="I226" s="48"/>
      <c r="R226" s="48"/>
      <c r="S226" s="48"/>
      <c r="T226" s="53"/>
      <c r="V226" s="53"/>
      <c r="W226" s="53"/>
      <c r="X226" s="53"/>
      <c r="Y226" s="53"/>
    </row>
    <row r="227" spans="1:25" ht="12.75">
      <c r="A227" s="16"/>
      <c r="C227" s="56"/>
      <c r="D227" s="57"/>
      <c r="E227" s="57"/>
      <c r="F227" s="57"/>
      <c r="I227" s="48"/>
      <c r="R227" s="48"/>
      <c r="S227" s="48"/>
      <c r="T227" s="53"/>
      <c r="V227" s="53"/>
      <c r="W227" s="53"/>
      <c r="X227" s="53"/>
      <c r="Y227" s="53"/>
    </row>
    <row r="228" spans="1:25" ht="12.75">
      <c r="A228" s="16"/>
      <c r="C228" s="56"/>
      <c r="D228" s="57"/>
      <c r="E228" s="57"/>
      <c r="F228" s="57"/>
      <c r="I228" s="48"/>
      <c r="R228" s="48"/>
      <c r="S228" s="48"/>
      <c r="T228" s="53"/>
      <c r="V228" s="53"/>
      <c r="W228" s="53"/>
      <c r="X228" s="53"/>
      <c r="Y228" s="53"/>
    </row>
    <row r="229" spans="1:25" ht="12.75">
      <c r="A229" s="16"/>
      <c r="C229" s="56"/>
      <c r="D229" s="57"/>
      <c r="E229" s="57"/>
      <c r="F229" s="57"/>
      <c r="I229" s="48"/>
      <c r="R229" s="48"/>
      <c r="S229" s="48"/>
      <c r="T229" s="53"/>
      <c r="V229" s="53"/>
      <c r="W229" s="53"/>
      <c r="X229" s="53"/>
      <c r="Y229" s="53"/>
    </row>
    <row r="230" spans="1:25" ht="12.75">
      <c r="A230" s="16"/>
      <c r="C230" s="56"/>
      <c r="D230" s="57"/>
      <c r="E230" s="57"/>
      <c r="F230" s="57"/>
      <c r="I230" s="48"/>
      <c r="R230" s="48"/>
      <c r="S230" s="48"/>
      <c r="T230" s="53"/>
      <c r="V230" s="53"/>
      <c r="W230" s="53"/>
      <c r="X230" s="53"/>
      <c r="Y230" s="53"/>
    </row>
    <row r="231" spans="1:25" ht="12.75">
      <c r="A231" s="16"/>
      <c r="C231" s="56"/>
      <c r="D231" s="57"/>
      <c r="E231" s="57"/>
      <c r="F231" s="57"/>
      <c r="I231" s="48"/>
      <c r="R231" s="48"/>
      <c r="S231" s="48"/>
      <c r="T231" s="53"/>
      <c r="V231" s="53"/>
      <c r="W231" s="53"/>
      <c r="X231" s="53"/>
      <c r="Y231" s="53"/>
    </row>
    <row r="232" spans="1:25" ht="12.75">
      <c r="A232" s="16"/>
      <c r="C232" s="56"/>
      <c r="D232" s="57"/>
      <c r="E232" s="57"/>
      <c r="F232" s="57"/>
      <c r="I232" s="48"/>
      <c r="R232" s="48"/>
      <c r="S232" s="48"/>
      <c r="T232" s="53"/>
      <c r="V232" s="53"/>
      <c r="W232" s="53"/>
      <c r="X232" s="53"/>
      <c r="Y232" s="53"/>
    </row>
    <row r="233" spans="1:25" ht="12.75">
      <c r="A233" s="16"/>
      <c r="C233" s="56"/>
      <c r="D233" s="57"/>
      <c r="E233" s="57"/>
      <c r="F233" s="57"/>
      <c r="I233" s="48"/>
      <c r="R233" s="48"/>
      <c r="S233" s="48"/>
      <c r="T233" s="53"/>
      <c r="V233" s="53"/>
      <c r="W233" s="53"/>
      <c r="X233" s="53"/>
      <c r="Y233" s="53"/>
    </row>
    <row r="234" spans="1:25" ht="12.75">
      <c r="A234" s="16"/>
      <c r="C234" s="56"/>
      <c r="D234" s="57"/>
      <c r="E234" s="57"/>
      <c r="F234" s="57"/>
      <c r="I234" s="48"/>
      <c r="R234" s="48"/>
      <c r="S234" s="48"/>
      <c r="T234" s="53"/>
      <c r="V234" s="53"/>
      <c r="W234" s="53"/>
      <c r="X234" s="53"/>
      <c r="Y234" s="53"/>
    </row>
    <row r="235" spans="1:25" ht="12.75">
      <c r="A235" s="16"/>
      <c r="C235" s="56"/>
      <c r="D235" s="57"/>
      <c r="E235" s="57"/>
      <c r="F235" s="57"/>
      <c r="I235" s="48"/>
      <c r="R235" s="48"/>
      <c r="S235" s="48"/>
      <c r="T235" s="53"/>
      <c r="V235" s="53"/>
      <c r="W235" s="53"/>
      <c r="X235" s="53"/>
      <c r="Y235" s="53"/>
    </row>
    <row r="236" spans="1:25" ht="12.75">
      <c r="A236" s="16"/>
      <c r="C236" s="56"/>
      <c r="D236" s="57"/>
      <c r="E236" s="57"/>
      <c r="F236" s="57"/>
      <c r="I236" s="48"/>
      <c r="R236" s="48"/>
      <c r="S236" s="48"/>
      <c r="T236" s="53"/>
      <c r="V236" s="53"/>
      <c r="W236" s="53"/>
      <c r="X236" s="53"/>
      <c r="Y236" s="53"/>
    </row>
    <row r="237" spans="1:25" ht="12.75">
      <c r="A237" s="16"/>
      <c r="C237" s="56"/>
      <c r="D237" s="57"/>
      <c r="E237" s="57"/>
      <c r="F237" s="57"/>
      <c r="I237" s="48"/>
      <c r="R237" s="48"/>
      <c r="S237" s="48"/>
      <c r="T237" s="53"/>
      <c r="V237" s="53"/>
      <c r="W237" s="53"/>
      <c r="X237" s="53"/>
      <c r="Y237" s="53"/>
    </row>
    <row r="238" spans="1:25" ht="12.75">
      <c r="A238" s="16"/>
      <c r="C238" s="56"/>
      <c r="D238" s="57"/>
      <c r="E238" s="57"/>
      <c r="F238" s="57"/>
      <c r="I238" s="48"/>
      <c r="R238" s="48"/>
      <c r="S238" s="48"/>
      <c r="T238" s="53"/>
      <c r="V238" s="53"/>
      <c r="W238" s="53"/>
      <c r="X238" s="53"/>
      <c r="Y238" s="53"/>
    </row>
    <row r="239" spans="1:25" ht="12.75">
      <c r="A239" s="16"/>
      <c r="C239" s="56"/>
      <c r="D239" s="57"/>
      <c r="E239" s="57"/>
      <c r="F239" s="57"/>
      <c r="I239" s="48"/>
      <c r="R239" s="48"/>
      <c r="S239" s="48"/>
      <c r="T239" s="53"/>
      <c r="V239" s="53"/>
      <c r="W239" s="53"/>
      <c r="X239" s="53"/>
      <c r="Y239" s="53"/>
    </row>
    <row r="240" spans="1:25" ht="12.75">
      <c r="A240" s="16"/>
      <c r="C240" s="56"/>
      <c r="D240" s="57"/>
      <c r="E240" s="57"/>
      <c r="F240" s="57"/>
      <c r="I240" s="48"/>
      <c r="R240" s="48"/>
      <c r="S240" s="48"/>
      <c r="T240" s="53"/>
      <c r="V240" s="53"/>
      <c r="W240" s="53"/>
      <c r="X240" s="53"/>
      <c r="Y240" s="53"/>
    </row>
    <row r="241" spans="1:25" ht="12.75">
      <c r="A241" s="16"/>
      <c r="C241" s="56"/>
      <c r="D241" s="57"/>
      <c r="E241" s="57"/>
      <c r="F241" s="57"/>
      <c r="I241" s="48"/>
      <c r="R241" s="48"/>
      <c r="S241" s="48"/>
      <c r="T241" s="53"/>
      <c r="V241" s="53"/>
      <c r="W241" s="53"/>
      <c r="X241" s="53"/>
      <c r="Y241" s="53"/>
    </row>
    <row r="242" spans="1:25" ht="12.75">
      <c r="A242" s="16"/>
      <c r="C242" s="56"/>
      <c r="D242" s="57"/>
      <c r="E242" s="57"/>
      <c r="F242" s="57"/>
      <c r="I242" s="48"/>
      <c r="R242" s="48"/>
      <c r="S242" s="48"/>
      <c r="T242" s="53"/>
      <c r="V242" s="53"/>
      <c r="W242" s="53"/>
      <c r="X242" s="53"/>
      <c r="Y242" s="53"/>
    </row>
    <row r="243" spans="1:25" ht="12.75">
      <c r="A243" s="16"/>
      <c r="C243" s="56"/>
      <c r="D243" s="57"/>
      <c r="E243" s="57"/>
      <c r="F243" s="57"/>
      <c r="I243" s="48"/>
      <c r="R243" s="48"/>
      <c r="S243" s="48"/>
      <c r="T243" s="53"/>
      <c r="V243" s="53"/>
      <c r="W243" s="53"/>
      <c r="X243" s="53"/>
      <c r="Y243" s="53"/>
    </row>
    <row r="244" spans="1:25" ht="12.75">
      <c r="A244" s="16"/>
      <c r="C244" s="56"/>
      <c r="D244" s="57"/>
      <c r="E244" s="57"/>
      <c r="F244" s="57"/>
      <c r="I244" s="48"/>
      <c r="R244" s="48"/>
      <c r="S244" s="48"/>
      <c r="T244" s="53"/>
      <c r="V244" s="53"/>
      <c r="W244" s="53"/>
      <c r="X244" s="53"/>
      <c r="Y244" s="53"/>
    </row>
    <row r="245" spans="1:25" ht="12.75">
      <c r="A245" s="16"/>
      <c r="C245" s="56"/>
      <c r="D245" s="57"/>
      <c r="E245" s="57"/>
      <c r="F245" s="57"/>
      <c r="I245" s="48"/>
      <c r="R245" s="48"/>
      <c r="S245" s="48"/>
      <c r="T245" s="53"/>
      <c r="V245" s="53"/>
      <c r="W245" s="53"/>
      <c r="X245" s="53"/>
      <c r="Y245" s="53"/>
    </row>
    <row r="246" spans="1:25" ht="12.75">
      <c r="A246" s="16"/>
      <c r="C246" s="56"/>
      <c r="D246" s="57"/>
      <c r="E246" s="57"/>
      <c r="F246" s="57"/>
      <c r="I246" s="48"/>
      <c r="R246" s="48"/>
      <c r="S246" s="48"/>
      <c r="T246" s="53"/>
      <c r="V246" s="53"/>
      <c r="W246" s="53"/>
      <c r="X246" s="53"/>
      <c r="Y246" s="53"/>
    </row>
    <row r="247" spans="1:25" ht="12.75">
      <c r="A247" s="16"/>
      <c r="C247" s="56"/>
      <c r="D247" s="57"/>
      <c r="E247" s="57"/>
      <c r="F247" s="57"/>
      <c r="I247" s="48"/>
      <c r="R247" s="48"/>
      <c r="S247" s="48"/>
      <c r="T247" s="53"/>
      <c r="V247" s="53"/>
      <c r="W247" s="53"/>
      <c r="X247" s="53"/>
      <c r="Y247" s="53"/>
    </row>
    <row r="248" spans="1:25" ht="12.75">
      <c r="A248" s="16"/>
      <c r="C248" s="56"/>
      <c r="D248" s="57"/>
      <c r="E248" s="57"/>
      <c r="F248" s="57"/>
      <c r="I248" s="48"/>
      <c r="R248" s="48"/>
      <c r="S248" s="48"/>
      <c r="T248" s="53"/>
      <c r="V248" s="53"/>
      <c r="W248" s="53"/>
      <c r="X248" s="53"/>
      <c r="Y248" s="53"/>
    </row>
    <row r="249" spans="1:25" ht="12.75">
      <c r="A249" s="16"/>
      <c r="C249" s="56"/>
      <c r="D249" s="57"/>
      <c r="E249" s="57"/>
      <c r="F249" s="57"/>
      <c r="I249" s="48"/>
      <c r="R249" s="48"/>
      <c r="S249" s="48"/>
      <c r="T249" s="53"/>
      <c r="V249" s="53"/>
      <c r="W249" s="53"/>
      <c r="X249" s="53"/>
      <c r="Y249" s="53"/>
    </row>
    <row r="250" spans="1:25" ht="12.75">
      <c r="A250" s="16"/>
      <c r="C250" s="56"/>
      <c r="D250" s="57"/>
      <c r="E250" s="57"/>
      <c r="F250" s="57"/>
      <c r="I250" s="48"/>
      <c r="R250" s="48"/>
      <c r="S250" s="48"/>
      <c r="T250" s="53"/>
      <c r="V250" s="53"/>
      <c r="W250" s="53"/>
      <c r="X250" s="53"/>
      <c r="Y250" s="53"/>
    </row>
    <row r="251" spans="1:25" ht="12.75">
      <c r="A251" s="16"/>
      <c r="C251" s="56"/>
      <c r="D251" s="57"/>
      <c r="E251" s="57"/>
      <c r="F251" s="57"/>
      <c r="I251" s="48"/>
      <c r="R251" s="48"/>
      <c r="S251" s="48"/>
      <c r="T251" s="53"/>
      <c r="V251" s="53"/>
      <c r="W251" s="53"/>
      <c r="X251" s="53"/>
      <c r="Y251" s="53"/>
    </row>
    <row r="252" spans="1:25" ht="12.75">
      <c r="A252" s="16"/>
      <c r="C252" s="56"/>
      <c r="D252" s="57"/>
      <c r="E252" s="57"/>
      <c r="F252" s="57"/>
      <c r="I252" s="48"/>
      <c r="R252" s="48"/>
      <c r="S252" s="48"/>
      <c r="T252" s="53"/>
      <c r="V252" s="53"/>
      <c r="W252" s="53"/>
      <c r="X252" s="53"/>
      <c r="Y252" s="53"/>
    </row>
    <row r="253" spans="1:25" ht="12.75">
      <c r="A253" s="16"/>
      <c r="C253" s="56"/>
      <c r="D253" s="57"/>
      <c r="E253" s="57"/>
      <c r="F253" s="57"/>
      <c r="I253" s="48"/>
      <c r="R253" s="48"/>
      <c r="S253" s="48"/>
      <c r="T253" s="53"/>
      <c r="V253" s="53"/>
      <c r="W253" s="53"/>
      <c r="X253" s="53"/>
      <c r="Y253" s="53"/>
    </row>
    <row r="254" spans="1:25" ht="12.75">
      <c r="A254" s="16"/>
      <c r="C254" s="56"/>
      <c r="D254" s="57"/>
      <c r="E254" s="57"/>
      <c r="F254" s="57"/>
      <c r="I254" s="48"/>
      <c r="R254" s="48"/>
      <c r="S254" s="48"/>
      <c r="T254" s="53"/>
      <c r="V254" s="53"/>
      <c r="W254" s="53"/>
      <c r="X254" s="53"/>
      <c r="Y254" s="53"/>
    </row>
    <row r="255" spans="1:25" ht="12.75">
      <c r="A255" s="16"/>
      <c r="C255" s="56"/>
      <c r="D255" s="57"/>
      <c r="E255" s="57"/>
      <c r="F255" s="57"/>
      <c r="I255" s="48"/>
      <c r="R255" s="48"/>
      <c r="S255" s="48"/>
      <c r="T255" s="53"/>
      <c r="V255" s="53"/>
      <c r="W255" s="53"/>
      <c r="X255" s="53"/>
      <c r="Y255" s="53"/>
    </row>
    <row r="256" spans="1:25" ht="12.75">
      <c r="A256" s="16"/>
      <c r="C256" s="56"/>
      <c r="D256" s="57"/>
      <c r="E256" s="57"/>
      <c r="F256" s="57"/>
      <c r="I256" s="48"/>
      <c r="R256" s="48"/>
      <c r="S256" s="48"/>
      <c r="T256" s="53"/>
      <c r="V256" s="53"/>
      <c r="W256" s="53"/>
      <c r="X256" s="53"/>
      <c r="Y256" s="53"/>
    </row>
    <row r="257" spans="1:25" ht="12.75">
      <c r="A257" s="16"/>
      <c r="C257" s="56"/>
      <c r="D257" s="57"/>
      <c r="E257" s="57"/>
      <c r="F257" s="57"/>
      <c r="I257" s="48"/>
      <c r="R257" s="48"/>
      <c r="S257" s="48"/>
      <c r="T257" s="53"/>
      <c r="V257" s="53"/>
      <c r="W257" s="53"/>
      <c r="X257" s="53"/>
      <c r="Y257" s="53"/>
    </row>
    <row r="258" spans="1:25" ht="12.75">
      <c r="A258" s="16"/>
      <c r="C258" s="56"/>
      <c r="D258" s="57"/>
      <c r="E258" s="57"/>
      <c r="F258" s="57"/>
      <c r="I258" s="48"/>
      <c r="R258" s="48"/>
      <c r="S258" s="48"/>
      <c r="T258" s="53"/>
      <c r="V258" s="53"/>
      <c r="W258" s="53"/>
      <c r="X258" s="53"/>
      <c r="Y258" s="53"/>
    </row>
    <row r="259" spans="1:25" ht="12.75">
      <c r="A259" s="16"/>
      <c r="C259" s="56"/>
      <c r="D259" s="57"/>
      <c r="E259" s="57"/>
      <c r="F259" s="57"/>
      <c r="I259" s="48"/>
      <c r="R259" s="48"/>
      <c r="S259" s="48"/>
      <c r="T259" s="53"/>
      <c r="V259" s="53"/>
      <c r="W259" s="53"/>
      <c r="X259" s="53"/>
      <c r="Y259" s="53"/>
    </row>
    <row r="260" spans="1:25" ht="12.75">
      <c r="A260" s="16"/>
      <c r="C260" s="56"/>
      <c r="D260" s="57"/>
      <c r="E260" s="57"/>
      <c r="F260" s="57"/>
      <c r="I260" s="48"/>
      <c r="R260" s="48"/>
      <c r="S260" s="48"/>
      <c r="T260" s="53"/>
      <c r="V260" s="53"/>
      <c r="W260" s="53"/>
      <c r="X260" s="53"/>
      <c r="Y260" s="53"/>
    </row>
    <row r="261" spans="1:25" ht="12.75">
      <c r="A261" s="16"/>
      <c r="C261" s="56"/>
      <c r="D261" s="57"/>
      <c r="E261" s="57"/>
      <c r="F261" s="57"/>
      <c r="I261" s="48"/>
      <c r="R261" s="48"/>
      <c r="S261" s="48"/>
      <c r="T261" s="53"/>
      <c r="V261" s="53"/>
      <c r="W261" s="53"/>
      <c r="X261" s="53"/>
      <c r="Y261" s="53"/>
    </row>
    <row r="262" spans="1:25" ht="12.75">
      <c r="A262" s="16"/>
      <c r="C262" s="56"/>
      <c r="D262" s="57"/>
      <c r="E262" s="57"/>
      <c r="F262" s="57"/>
      <c r="I262" s="48"/>
      <c r="R262" s="48"/>
      <c r="S262" s="48"/>
      <c r="T262" s="53"/>
      <c r="V262" s="53"/>
      <c r="W262" s="53"/>
      <c r="X262" s="53"/>
      <c r="Y262" s="53"/>
    </row>
    <row r="263" spans="1:25" ht="12.75">
      <c r="A263" s="16"/>
      <c r="C263" s="56"/>
      <c r="D263" s="57"/>
      <c r="E263" s="57"/>
      <c r="F263" s="57"/>
      <c r="I263" s="48"/>
      <c r="R263" s="48"/>
      <c r="S263" s="48"/>
      <c r="T263" s="53"/>
      <c r="V263" s="53"/>
      <c r="W263" s="53"/>
      <c r="X263" s="53"/>
      <c r="Y263" s="53"/>
    </row>
    <row r="264" spans="1:25" ht="12.75">
      <c r="A264" s="16"/>
      <c r="C264" s="56"/>
      <c r="D264" s="57"/>
      <c r="E264" s="57"/>
      <c r="F264" s="57"/>
      <c r="I264" s="48"/>
      <c r="R264" s="48"/>
      <c r="S264" s="48"/>
      <c r="T264" s="53"/>
      <c r="V264" s="53"/>
      <c r="W264" s="53"/>
      <c r="X264" s="53"/>
      <c r="Y264" s="53"/>
    </row>
    <row r="265" spans="1:25" ht="12.75">
      <c r="A265" s="16"/>
      <c r="C265" s="56"/>
      <c r="D265" s="57"/>
      <c r="E265" s="57"/>
      <c r="F265" s="57"/>
      <c r="I265" s="48"/>
      <c r="R265" s="48"/>
      <c r="S265" s="48"/>
      <c r="T265" s="53"/>
      <c r="V265" s="53"/>
      <c r="W265" s="53"/>
      <c r="X265" s="53"/>
      <c r="Y265" s="53"/>
    </row>
    <row r="266" spans="1:25" ht="12.75">
      <c r="A266" s="16"/>
      <c r="C266" s="56"/>
      <c r="D266" s="57"/>
      <c r="E266" s="57"/>
      <c r="F266" s="57"/>
      <c r="I266" s="48"/>
      <c r="R266" s="48"/>
      <c r="S266" s="48"/>
      <c r="T266" s="53"/>
      <c r="V266" s="53"/>
      <c r="W266" s="53"/>
      <c r="X266" s="53"/>
      <c r="Y266" s="53"/>
    </row>
    <row r="267" spans="1:25" ht="12.75">
      <c r="A267" s="16"/>
      <c r="C267" s="56"/>
      <c r="D267" s="57"/>
      <c r="E267" s="57"/>
      <c r="F267" s="57"/>
      <c r="I267" s="48"/>
      <c r="R267" s="48"/>
      <c r="S267" s="48"/>
      <c r="T267" s="53"/>
      <c r="V267" s="53"/>
      <c r="W267" s="53"/>
      <c r="X267" s="53"/>
      <c r="Y267" s="53"/>
    </row>
    <row r="268" spans="1:25" ht="12.75">
      <c r="A268" s="16"/>
      <c r="C268" s="56"/>
      <c r="D268" s="57"/>
      <c r="E268" s="57"/>
      <c r="F268" s="57"/>
      <c r="I268" s="48"/>
      <c r="R268" s="48"/>
      <c r="S268" s="48"/>
      <c r="T268" s="53"/>
      <c r="V268" s="53"/>
      <c r="W268" s="53"/>
      <c r="X268" s="53"/>
      <c r="Y268" s="53"/>
    </row>
    <row r="269" spans="1:25" ht="12.75">
      <c r="A269" s="16"/>
      <c r="C269" s="56"/>
      <c r="D269" s="57"/>
      <c r="E269" s="57"/>
      <c r="F269" s="57"/>
      <c r="I269" s="48"/>
      <c r="R269" s="48"/>
      <c r="S269" s="48"/>
      <c r="T269" s="53"/>
      <c r="V269" s="53"/>
      <c r="W269" s="53"/>
      <c r="X269" s="53"/>
      <c r="Y269" s="53"/>
    </row>
    <row r="270" spans="1:25" ht="12.75">
      <c r="A270" s="16"/>
      <c r="C270" s="56"/>
      <c r="D270" s="57"/>
      <c r="E270" s="57"/>
      <c r="F270" s="57"/>
      <c r="I270" s="48"/>
      <c r="R270" s="48"/>
      <c r="S270" s="48"/>
      <c r="T270" s="53"/>
      <c r="V270" s="53"/>
      <c r="W270" s="53"/>
      <c r="X270" s="53"/>
      <c r="Y270" s="53"/>
    </row>
    <row r="271" spans="1:25" ht="12.75">
      <c r="A271" s="16"/>
      <c r="C271" s="56"/>
      <c r="D271" s="57"/>
      <c r="E271" s="57"/>
      <c r="F271" s="57"/>
      <c r="I271" s="48"/>
      <c r="R271" s="48"/>
      <c r="S271" s="48"/>
      <c r="T271" s="53"/>
      <c r="V271" s="53"/>
      <c r="W271" s="53"/>
      <c r="X271" s="53"/>
      <c r="Y271" s="53"/>
    </row>
    <row r="272" spans="1:25" ht="12.75">
      <c r="A272" s="16"/>
      <c r="C272" s="56"/>
      <c r="D272" s="57"/>
      <c r="E272" s="57"/>
      <c r="F272" s="57"/>
      <c r="I272" s="48"/>
      <c r="R272" s="48"/>
      <c r="S272" s="48"/>
      <c r="T272" s="53"/>
      <c r="V272" s="53"/>
      <c r="W272" s="53"/>
      <c r="X272" s="53"/>
      <c r="Y272" s="53"/>
    </row>
    <row r="273" spans="1:25" ht="12.75">
      <c r="A273" s="16"/>
      <c r="C273" s="56"/>
      <c r="D273" s="57"/>
      <c r="E273" s="57"/>
      <c r="F273" s="57"/>
      <c r="I273" s="48"/>
      <c r="R273" s="48"/>
      <c r="S273" s="48"/>
      <c r="T273" s="53"/>
      <c r="V273" s="53"/>
      <c r="W273" s="53"/>
      <c r="X273" s="53"/>
      <c r="Y273" s="53"/>
    </row>
    <row r="274" spans="1:25" ht="12.75">
      <c r="A274" s="16"/>
      <c r="C274" s="56"/>
      <c r="D274" s="57"/>
      <c r="E274" s="57"/>
      <c r="F274" s="57"/>
      <c r="I274" s="48"/>
      <c r="R274" s="48"/>
      <c r="S274" s="48"/>
      <c r="T274" s="53"/>
      <c r="V274" s="53"/>
      <c r="W274" s="53"/>
      <c r="X274" s="53"/>
      <c r="Y274" s="53"/>
    </row>
    <row r="275" spans="1:25" ht="12.75">
      <c r="A275" s="16"/>
      <c r="C275" s="56"/>
      <c r="D275" s="57"/>
      <c r="E275" s="57"/>
      <c r="F275" s="57"/>
      <c r="I275" s="48"/>
      <c r="R275" s="48"/>
      <c r="S275" s="48"/>
      <c r="T275" s="53"/>
      <c r="V275" s="53"/>
      <c r="W275" s="53"/>
      <c r="X275" s="53"/>
      <c r="Y275" s="53"/>
    </row>
    <row r="276" spans="1:25" ht="12.75">
      <c r="A276" s="16"/>
      <c r="C276" s="56"/>
      <c r="D276" s="57"/>
      <c r="E276" s="57"/>
      <c r="F276" s="57"/>
      <c r="I276" s="48"/>
      <c r="R276" s="48"/>
      <c r="S276" s="48"/>
      <c r="T276" s="53"/>
      <c r="V276" s="53"/>
      <c r="W276" s="53"/>
      <c r="X276" s="53"/>
      <c r="Y276" s="53"/>
    </row>
    <row r="277" spans="1:25" ht="12.75">
      <c r="A277" s="16"/>
      <c r="C277" s="56"/>
      <c r="D277" s="57"/>
      <c r="E277" s="57"/>
      <c r="F277" s="57"/>
      <c r="I277" s="48"/>
      <c r="R277" s="48"/>
      <c r="S277" s="48"/>
      <c r="T277" s="53"/>
      <c r="V277" s="53"/>
      <c r="W277" s="53"/>
      <c r="X277" s="53"/>
      <c r="Y277" s="53"/>
    </row>
    <row r="278" spans="1:25" ht="12.75">
      <c r="A278" s="16"/>
      <c r="C278" s="56"/>
      <c r="D278" s="57"/>
      <c r="E278" s="57"/>
      <c r="F278" s="57"/>
      <c r="I278" s="48"/>
      <c r="R278" s="48"/>
      <c r="S278" s="48"/>
      <c r="T278" s="53"/>
      <c r="V278" s="53"/>
      <c r="W278" s="53"/>
      <c r="X278" s="53"/>
      <c r="Y278" s="53"/>
    </row>
    <row r="279" spans="1:25" ht="12.75">
      <c r="A279" s="16"/>
      <c r="C279" s="56"/>
      <c r="D279" s="57"/>
      <c r="E279" s="57"/>
      <c r="F279" s="57"/>
      <c r="I279" s="48"/>
      <c r="R279" s="48"/>
      <c r="S279" s="48"/>
      <c r="T279" s="53"/>
      <c r="V279" s="53"/>
      <c r="W279" s="53"/>
      <c r="X279" s="53"/>
      <c r="Y279" s="53"/>
    </row>
    <row r="280" spans="1:25" ht="12.75">
      <c r="A280" s="16"/>
      <c r="C280" s="56"/>
      <c r="D280" s="57"/>
      <c r="E280" s="57"/>
      <c r="F280" s="57"/>
      <c r="I280" s="48"/>
      <c r="R280" s="48"/>
      <c r="S280" s="48"/>
      <c r="T280" s="53"/>
      <c r="V280" s="53"/>
      <c r="W280" s="53"/>
      <c r="X280" s="53"/>
      <c r="Y280" s="53"/>
    </row>
    <row r="281" spans="1:25" ht="12.75">
      <c r="A281" s="16"/>
      <c r="C281" s="56"/>
      <c r="D281" s="57"/>
      <c r="E281" s="57"/>
      <c r="F281" s="57"/>
      <c r="I281" s="48"/>
      <c r="R281" s="48"/>
      <c r="S281" s="48"/>
      <c r="T281" s="53"/>
      <c r="V281" s="53"/>
      <c r="W281" s="53"/>
      <c r="X281" s="53"/>
      <c r="Y281" s="53"/>
    </row>
    <row r="282" spans="1:25" ht="12.75">
      <c r="A282" s="16"/>
      <c r="C282" s="56"/>
      <c r="D282" s="57"/>
      <c r="E282" s="57"/>
      <c r="F282" s="57"/>
      <c r="I282" s="48"/>
      <c r="R282" s="48"/>
      <c r="S282" s="48"/>
      <c r="T282" s="53"/>
      <c r="V282" s="53"/>
      <c r="W282" s="53"/>
      <c r="X282" s="53"/>
      <c r="Y282" s="53"/>
    </row>
    <row r="283" spans="1:25" ht="12.75">
      <c r="A283" s="16"/>
      <c r="C283" s="56"/>
      <c r="D283" s="57"/>
      <c r="E283" s="57"/>
      <c r="F283" s="57"/>
      <c r="I283" s="48"/>
      <c r="R283" s="48"/>
      <c r="S283" s="48"/>
      <c r="T283" s="53"/>
      <c r="V283" s="53"/>
      <c r="W283" s="53"/>
      <c r="X283" s="53"/>
      <c r="Y283" s="53"/>
    </row>
    <row r="284" spans="1:25" ht="12.75">
      <c r="A284" s="16"/>
      <c r="C284" s="56"/>
      <c r="D284" s="57"/>
      <c r="E284" s="57"/>
      <c r="F284" s="57"/>
      <c r="I284" s="48"/>
      <c r="R284" s="48"/>
      <c r="S284" s="48"/>
      <c r="T284" s="53"/>
      <c r="V284" s="53"/>
      <c r="W284" s="53"/>
      <c r="X284" s="53"/>
      <c r="Y284" s="53"/>
    </row>
    <row r="285" spans="1:25" ht="12.75">
      <c r="A285" s="16"/>
      <c r="C285" s="56"/>
      <c r="D285" s="57"/>
      <c r="E285" s="57"/>
      <c r="F285" s="57"/>
      <c r="I285" s="48"/>
      <c r="R285" s="48"/>
      <c r="S285" s="48"/>
      <c r="T285" s="53"/>
      <c r="V285" s="53"/>
      <c r="W285" s="53"/>
      <c r="X285" s="53"/>
      <c r="Y285" s="53"/>
    </row>
    <row r="286" spans="1:25" ht="12.75">
      <c r="A286" s="16"/>
      <c r="C286" s="56"/>
      <c r="D286" s="57"/>
      <c r="E286" s="57"/>
      <c r="F286" s="57"/>
      <c r="I286" s="48"/>
      <c r="R286" s="48"/>
      <c r="S286" s="48"/>
      <c r="T286" s="53"/>
      <c r="V286" s="53"/>
      <c r="W286" s="53"/>
      <c r="X286" s="53"/>
      <c r="Y286" s="53"/>
    </row>
    <row r="287" spans="1:25" ht="12.75">
      <c r="A287" s="16"/>
      <c r="C287" s="56"/>
      <c r="D287" s="57"/>
      <c r="E287" s="57"/>
      <c r="F287" s="57"/>
      <c r="I287" s="48"/>
      <c r="R287" s="48"/>
      <c r="S287" s="48"/>
      <c r="T287" s="53"/>
      <c r="V287" s="53"/>
      <c r="W287" s="53"/>
      <c r="X287" s="53"/>
      <c r="Y287" s="53"/>
    </row>
    <row r="288" spans="1:25" ht="12.75">
      <c r="A288" s="16"/>
      <c r="C288" s="56"/>
      <c r="D288" s="57"/>
      <c r="E288" s="57"/>
      <c r="F288" s="57"/>
      <c r="I288" s="48"/>
      <c r="R288" s="48"/>
      <c r="S288" s="48"/>
      <c r="T288" s="53"/>
      <c r="V288" s="53"/>
      <c r="W288" s="53"/>
      <c r="X288" s="53"/>
      <c r="Y288" s="53"/>
    </row>
    <row r="289" spans="1:25" ht="12.75">
      <c r="A289" s="16"/>
      <c r="C289" s="56"/>
      <c r="D289" s="57"/>
      <c r="E289" s="57"/>
      <c r="F289" s="57"/>
      <c r="I289" s="48"/>
      <c r="R289" s="48"/>
      <c r="S289" s="48"/>
      <c r="T289" s="53"/>
      <c r="V289" s="53"/>
      <c r="W289" s="53"/>
      <c r="X289" s="53"/>
      <c r="Y289" s="53"/>
    </row>
    <row r="290" spans="1:25" ht="12.75">
      <c r="A290" s="16"/>
      <c r="C290" s="56"/>
      <c r="D290" s="57"/>
      <c r="E290" s="57"/>
      <c r="F290" s="57"/>
      <c r="I290" s="48"/>
      <c r="R290" s="48"/>
      <c r="S290" s="48"/>
      <c r="T290" s="53"/>
      <c r="V290" s="53"/>
      <c r="W290" s="53"/>
      <c r="X290" s="53"/>
      <c r="Y290" s="53"/>
    </row>
    <row r="291" spans="1:25" ht="12.75">
      <c r="A291" s="16"/>
      <c r="C291" s="56"/>
      <c r="D291" s="57"/>
      <c r="E291" s="57"/>
      <c r="F291" s="57"/>
      <c r="I291" s="48"/>
      <c r="R291" s="48"/>
      <c r="S291" s="48"/>
      <c r="T291" s="53"/>
      <c r="V291" s="53"/>
      <c r="W291" s="53"/>
      <c r="X291" s="53"/>
      <c r="Y291" s="53"/>
    </row>
    <row r="292" spans="1:25" ht="12.75">
      <c r="A292" s="16"/>
      <c r="C292" s="56"/>
      <c r="D292" s="57"/>
      <c r="E292" s="57"/>
      <c r="F292" s="57"/>
      <c r="I292" s="48"/>
      <c r="R292" s="48"/>
      <c r="S292" s="48"/>
      <c r="T292" s="53"/>
      <c r="V292" s="53"/>
      <c r="W292" s="53"/>
      <c r="X292" s="53"/>
      <c r="Y292" s="53"/>
    </row>
    <row r="293" spans="1:25" ht="12.75">
      <c r="A293" s="16"/>
      <c r="C293" s="56"/>
      <c r="D293" s="57"/>
      <c r="E293" s="57"/>
      <c r="F293" s="57"/>
      <c r="I293" s="48"/>
      <c r="R293" s="48"/>
      <c r="S293" s="48"/>
      <c r="T293" s="53"/>
      <c r="V293" s="53"/>
      <c r="W293" s="53"/>
      <c r="X293" s="53"/>
      <c r="Y293" s="53"/>
    </row>
    <row r="294" spans="1:25" ht="12.75">
      <c r="A294" s="16"/>
      <c r="C294" s="56"/>
      <c r="D294" s="57"/>
      <c r="E294" s="57"/>
      <c r="F294" s="57"/>
      <c r="I294" s="48"/>
      <c r="R294" s="48"/>
      <c r="S294" s="48"/>
      <c r="T294" s="53"/>
      <c r="V294" s="53"/>
      <c r="W294" s="53"/>
      <c r="X294" s="53"/>
      <c r="Y294" s="53"/>
    </row>
    <row r="295" spans="1:25" ht="12.75">
      <c r="A295" s="16"/>
      <c r="C295" s="56"/>
      <c r="D295" s="57"/>
      <c r="E295" s="57"/>
      <c r="F295" s="57"/>
      <c r="I295" s="48"/>
      <c r="R295" s="48"/>
      <c r="S295" s="48"/>
      <c r="T295" s="53"/>
      <c r="V295" s="53"/>
      <c r="W295" s="53"/>
      <c r="X295" s="53"/>
      <c r="Y295" s="53"/>
    </row>
    <row r="296" spans="1:25" ht="12.75">
      <c r="A296" s="16"/>
      <c r="C296" s="56"/>
      <c r="D296" s="57"/>
      <c r="E296" s="57"/>
      <c r="F296" s="57"/>
      <c r="I296" s="48"/>
      <c r="R296" s="48"/>
      <c r="S296" s="48"/>
      <c r="T296" s="53"/>
      <c r="V296" s="53"/>
      <c r="W296" s="53"/>
      <c r="X296" s="53"/>
      <c r="Y296" s="53"/>
    </row>
    <row r="297" spans="1:25" ht="12.75">
      <c r="A297" s="16"/>
      <c r="C297" s="56"/>
      <c r="D297" s="57"/>
      <c r="E297" s="57"/>
      <c r="F297" s="57"/>
      <c r="I297" s="48"/>
      <c r="R297" s="48"/>
      <c r="S297" s="48"/>
      <c r="T297" s="53"/>
      <c r="V297" s="53"/>
      <c r="W297" s="53"/>
      <c r="X297" s="53"/>
      <c r="Y297" s="53"/>
    </row>
    <row r="298" spans="1:25" ht="12.75">
      <c r="A298" s="16"/>
      <c r="C298" s="56"/>
      <c r="D298" s="57"/>
      <c r="E298" s="57"/>
      <c r="F298" s="57"/>
      <c r="I298" s="48"/>
      <c r="R298" s="48"/>
      <c r="S298" s="48"/>
      <c r="T298" s="53"/>
      <c r="V298" s="53"/>
      <c r="W298" s="53"/>
      <c r="X298" s="53"/>
      <c r="Y298" s="53"/>
    </row>
    <row r="299" spans="1:25" ht="12.75">
      <c r="A299" s="16"/>
      <c r="C299" s="56"/>
      <c r="D299" s="57"/>
      <c r="E299" s="57"/>
      <c r="F299" s="57"/>
      <c r="I299" s="48"/>
      <c r="R299" s="48"/>
      <c r="S299" s="48"/>
      <c r="T299" s="53"/>
      <c r="V299" s="53"/>
      <c r="W299" s="53"/>
      <c r="X299" s="53"/>
      <c r="Y299" s="53"/>
    </row>
    <row r="300" spans="1:25" ht="12.75">
      <c r="A300" s="16"/>
      <c r="C300" s="56"/>
      <c r="D300" s="57"/>
      <c r="E300" s="57"/>
      <c r="F300" s="57"/>
      <c r="I300" s="48"/>
      <c r="R300" s="48"/>
      <c r="S300" s="48"/>
      <c r="T300" s="53"/>
      <c r="V300" s="53"/>
      <c r="W300" s="53"/>
      <c r="X300" s="53"/>
      <c r="Y300" s="53"/>
    </row>
    <row r="301" spans="1:25" ht="12.75">
      <c r="A301" s="16"/>
      <c r="C301" s="56"/>
      <c r="D301" s="57"/>
      <c r="E301" s="57"/>
      <c r="F301" s="57"/>
      <c r="I301" s="48"/>
      <c r="R301" s="48"/>
      <c r="S301" s="48"/>
      <c r="T301" s="53"/>
      <c r="V301" s="53"/>
      <c r="W301" s="53"/>
      <c r="X301" s="53"/>
      <c r="Y301" s="53"/>
    </row>
    <row r="302" spans="1:25" ht="12.75">
      <c r="A302" s="16"/>
      <c r="C302" s="56"/>
      <c r="D302" s="57"/>
      <c r="E302" s="57"/>
      <c r="F302" s="57"/>
      <c r="I302" s="48"/>
      <c r="R302" s="48"/>
      <c r="S302" s="48"/>
      <c r="T302" s="53"/>
      <c r="V302" s="53"/>
      <c r="W302" s="53"/>
      <c r="X302" s="53"/>
      <c r="Y302" s="53"/>
    </row>
    <row r="303" spans="1:25" ht="12.75">
      <c r="A303" s="16"/>
      <c r="C303" s="56"/>
      <c r="D303" s="57"/>
      <c r="E303" s="57"/>
      <c r="F303" s="57"/>
      <c r="I303" s="48"/>
      <c r="R303" s="48"/>
      <c r="S303" s="48"/>
      <c r="T303" s="53"/>
      <c r="V303" s="53"/>
      <c r="W303" s="53"/>
      <c r="X303" s="53"/>
      <c r="Y303" s="53"/>
    </row>
    <row r="304" spans="1:25" ht="12.75">
      <c r="A304" s="16"/>
      <c r="C304" s="56"/>
      <c r="D304" s="57"/>
      <c r="E304" s="57"/>
      <c r="F304" s="57"/>
      <c r="I304" s="48"/>
      <c r="R304" s="48"/>
      <c r="S304" s="48"/>
      <c r="T304" s="53"/>
      <c r="V304" s="53"/>
      <c r="W304" s="53"/>
      <c r="X304" s="53"/>
      <c r="Y304" s="53"/>
    </row>
    <row r="305" spans="1:25" ht="12.75">
      <c r="A305" s="16"/>
      <c r="C305" s="56"/>
      <c r="D305" s="57"/>
      <c r="E305" s="57"/>
      <c r="F305" s="57"/>
      <c r="I305" s="48"/>
      <c r="R305" s="48"/>
      <c r="S305" s="48"/>
      <c r="T305" s="53"/>
      <c r="V305" s="53"/>
      <c r="W305" s="53"/>
      <c r="X305" s="53"/>
      <c r="Y305" s="53"/>
    </row>
    <row r="306" spans="1:25" ht="12.75">
      <c r="A306" s="16"/>
      <c r="C306" s="56"/>
      <c r="D306" s="57"/>
      <c r="E306" s="57"/>
      <c r="F306" s="57"/>
      <c r="I306" s="48"/>
      <c r="R306" s="48"/>
      <c r="S306" s="48"/>
      <c r="T306" s="53"/>
      <c r="V306" s="53"/>
      <c r="W306" s="53"/>
      <c r="X306" s="53"/>
      <c r="Y306" s="53"/>
    </row>
    <row r="307" spans="1:25" ht="12.75">
      <c r="A307" s="16"/>
      <c r="C307" s="56"/>
      <c r="D307" s="57"/>
      <c r="E307" s="57"/>
      <c r="F307" s="57"/>
      <c r="I307" s="48"/>
      <c r="R307" s="48"/>
      <c r="S307" s="48"/>
      <c r="T307" s="53"/>
      <c r="V307" s="53"/>
      <c r="W307" s="53"/>
      <c r="X307" s="53"/>
      <c r="Y307" s="53"/>
    </row>
    <row r="308" spans="1:25" ht="12.75">
      <c r="A308" s="16"/>
      <c r="C308" s="56"/>
      <c r="D308" s="57"/>
      <c r="E308" s="57"/>
      <c r="F308" s="57"/>
      <c r="I308" s="48"/>
      <c r="R308" s="48"/>
      <c r="S308" s="48"/>
      <c r="T308" s="53"/>
      <c r="V308" s="53"/>
      <c r="W308" s="53"/>
      <c r="X308" s="53"/>
      <c r="Y308" s="53"/>
    </row>
    <row r="309" spans="1:25" ht="12.75">
      <c r="A309" s="16"/>
      <c r="C309" s="56"/>
      <c r="D309" s="57"/>
      <c r="E309" s="57"/>
      <c r="F309" s="57"/>
      <c r="I309" s="48"/>
      <c r="R309" s="48"/>
      <c r="S309" s="48"/>
      <c r="T309" s="53"/>
      <c r="V309" s="53"/>
      <c r="W309" s="53"/>
      <c r="X309" s="53"/>
      <c r="Y309" s="53"/>
    </row>
    <row r="310" spans="1:25" ht="12.75">
      <c r="A310" s="16"/>
      <c r="C310" s="56"/>
      <c r="D310" s="57"/>
      <c r="E310" s="57"/>
      <c r="F310" s="57"/>
      <c r="I310" s="48"/>
      <c r="R310" s="48"/>
      <c r="S310" s="48"/>
      <c r="T310" s="53"/>
      <c r="V310" s="53"/>
      <c r="W310" s="53"/>
      <c r="X310" s="53"/>
      <c r="Y310" s="53"/>
    </row>
    <row r="311" spans="1:25" ht="12.75">
      <c r="A311" s="16"/>
      <c r="C311" s="56"/>
      <c r="D311" s="57"/>
      <c r="E311" s="57"/>
      <c r="F311" s="57"/>
      <c r="I311" s="48"/>
      <c r="R311" s="48"/>
      <c r="S311" s="48"/>
      <c r="T311" s="53"/>
      <c r="V311" s="53"/>
      <c r="W311" s="53"/>
      <c r="X311" s="53"/>
      <c r="Y311" s="53"/>
    </row>
    <row r="312" spans="1:25" ht="12.75">
      <c r="A312" s="16"/>
      <c r="C312" s="56"/>
      <c r="D312" s="57"/>
      <c r="E312" s="57"/>
      <c r="F312" s="57"/>
      <c r="I312" s="48"/>
      <c r="R312" s="48"/>
      <c r="S312" s="48"/>
      <c r="T312" s="53"/>
      <c r="V312" s="53"/>
      <c r="W312" s="53"/>
      <c r="X312" s="53"/>
      <c r="Y312" s="53"/>
    </row>
    <row r="313" spans="1:25" ht="12.75">
      <c r="A313" s="16"/>
      <c r="C313" s="56"/>
      <c r="D313" s="57"/>
      <c r="E313" s="57"/>
      <c r="F313" s="57"/>
      <c r="I313" s="48"/>
      <c r="R313" s="48"/>
      <c r="S313" s="48"/>
      <c r="T313" s="53"/>
      <c r="V313" s="53"/>
      <c r="W313" s="53"/>
      <c r="X313" s="53"/>
      <c r="Y313" s="53"/>
    </row>
    <row r="314" spans="1:25" ht="12.75">
      <c r="A314" s="16"/>
      <c r="C314" s="56"/>
      <c r="D314" s="57"/>
      <c r="E314" s="57"/>
      <c r="F314" s="57"/>
      <c r="I314" s="48"/>
      <c r="R314" s="48"/>
      <c r="S314" s="48"/>
      <c r="T314" s="53"/>
      <c r="V314" s="53"/>
      <c r="W314" s="53"/>
      <c r="X314" s="53"/>
      <c r="Y314" s="53"/>
    </row>
    <row r="315" spans="1:25" ht="12.75">
      <c r="A315" s="16"/>
      <c r="C315" s="56"/>
      <c r="D315" s="57"/>
      <c r="E315" s="57"/>
      <c r="F315" s="57"/>
      <c r="I315" s="48"/>
      <c r="R315" s="48"/>
      <c r="S315" s="48"/>
      <c r="T315" s="53"/>
      <c r="V315" s="53"/>
      <c r="W315" s="53"/>
      <c r="X315" s="53"/>
      <c r="Y315" s="53"/>
    </row>
    <row r="316" spans="1:25" ht="12.75">
      <c r="A316" s="16"/>
      <c r="C316" s="56"/>
      <c r="D316" s="57"/>
      <c r="E316" s="57"/>
      <c r="F316" s="57"/>
      <c r="I316" s="48"/>
      <c r="R316" s="48"/>
      <c r="S316" s="48"/>
      <c r="T316" s="53"/>
      <c r="V316" s="53"/>
      <c r="W316" s="53"/>
      <c r="X316" s="53"/>
      <c r="Y316" s="53"/>
    </row>
    <row r="317" spans="1:25" ht="12.75">
      <c r="A317" s="16"/>
      <c r="C317" s="56"/>
      <c r="D317" s="57"/>
      <c r="E317" s="57"/>
      <c r="F317" s="57"/>
      <c r="I317" s="48"/>
      <c r="R317" s="48"/>
      <c r="S317" s="48"/>
      <c r="T317" s="53"/>
      <c r="V317" s="53"/>
      <c r="W317" s="53"/>
      <c r="X317" s="53"/>
      <c r="Y317" s="53"/>
    </row>
    <row r="318" spans="1:25" ht="12.75">
      <c r="A318" s="16"/>
      <c r="C318" s="56"/>
      <c r="D318" s="57"/>
      <c r="E318" s="57"/>
      <c r="F318" s="57"/>
      <c r="I318" s="48"/>
      <c r="R318" s="48"/>
      <c r="S318" s="48"/>
      <c r="T318" s="53"/>
      <c r="V318" s="53"/>
      <c r="W318" s="53"/>
      <c r="X318" s="53"/>
      <c r="Y318" s="53"/>
    </row>
    <row r="319" spans="1:25" ht="12.75">
      <c r="A319" s="16"/>
      <c r="C319" s="56"/>
      <c r="D319" s="57"/>
      <c r="E319" s="57"/>
      <c r="F319" s="57"/>
      <c r="I319" s="48"/>
      <c r="R319" s="48"/>
      <c r="S319" s="48"/>
      <c r="T319" s="53"/>
      <c r="V319" s="53"/>
      <c r="W319" s="53"/>
      <c r="X319" s="53"/>
      <c r="Y319" s="53"/>
    </row>
    <row r="320" spans="1:25" ht="12.75">
      <c r="A320" s="16"/>
      <c r="C320" s="56"/>
      <c r="D320" s="57"/>
      <c r="E320" s="57"/>
      <c r="F320" s="57"/>
      <c r="I320" s="48"/>
      <c r="R320" s="48"/>
      <c r="S320" s="48"/>
      <c r="T320" s="53"/>
      <c r="V320" s="53"/>
      <c r="W320" s="53"/>
      <c r="X320" s="53"/>
      <c r="Y320" s="53"/>
    </row>
    <row r="321" spans="1:25" ht="12.75">
      <c r="A321" s="16"/>
      <c r="C321" s="56"/>
      <c r="D321" s="57"/>
      <c r="E321" s="57"/>
      <c r="F321" s="57"/>
      <c r="I321" s="48"/>
      <c r="R321" s="48"/>
      <c r="S321" s="48"/>
      <c r="T321" s="53"/>
      <c r="V321" s="53"/>
      <c r="W321" s="53"/>
      <c r="X321" s="53"/>
      <c r="Y321" s="53"/>
    </row>
    <row r="322" spans="1:25" ht="12.75">
      <c r="A322" s="16"/>
      <c r="C322" s="56"/>
      <c r="D322" s="57"/>
      <c r="E322" s="57"/>
      <c r="F322" s="57"/>
      <c r="I322" s="48"/>
      <c r="R322" s="48"/>
      <c r="S322" s="48"/>
      <c r="T322" s="53"/>
      <c r="V322" s="53"/>
      <c r="W322" s="53"/>
      <c r="X322" s="53"/>
      <c r="Y322" s="53"/>
    </row>
    <row r="323" spans="1:25" ht="12.75">
      <c r="A323" s="16"/>
      <c r="C323" s="56"/>
      <c r="D323" s="57"/>
      <c r="E323" s="57"/>
      <c r="F323" s="57"/>
      <c r="I323" s="48"/>
      <c r="R323" s="48"/>
      <c r="S323" s="48"/>
      <c r="T323" s="53"/>
      <c r="V323" s="53"/>
      <c r="W323" s="53"/>
      <c r="X323" s="53"/>
      <c r="Y323" s="53"/>
    </row>
    <row r="324" spans="1:25" ht="12.75">
      <c r="A324" s="16"/>
      <c r="C324" s="56"/>
      <c r="D324" s="57"/>
      <c r="E324" s="57"/>
      <c r="F324" s="57"/>
      <c r="I324" s="48"/>
      <c r="R324" s="48"/>
      <c r="S324" s="48"/>
      <c r="T324" s="53"/>
      <c r="V324" s="53"/>
      <c r="W324" s="53"/>
      <c r="X324" s="53"/>
      <c r="Y324" s="53"/>
    </row>
    <row r="325" spans="1:25" ht="12.75">
      <c r="A325" s="16"/>
      <c r="C325" s="56"/>
      <c r="D325" s="57"/>
      <c r="E325" s="57"/>
      <c r="F325" s="57"/>
      <c r="I325" s="48"/>
      <c r="R325" s="48"/>
      <c r="S325" s="48"/>
      <c r="T325" s="53"/>
      <c r="V325" s="53"/>
      <c r="W325" s="53"/>
      <c r="X325" s="53"/>
      <c r="Y325" s="53"/>
    </row>
    <row r="326" spans="1:25" ht="12.75">
      <c r="A326" s="16"/>
      <c r="C326" s="56"/>
      <c r="D326" s="57"/>
      <c r="E326" s="57"/>
      <c r="F326" s="57"/>
      <c r="I326" s="48"/>
      <c r="R326" s="48"/>
      <c r="S326" s="48"/>
      <c r="T326" s="53"/>
      <c r="V326" s="53"/>
      <c r="W326" s="53"/>
      <c r="X326" s="53"/>
      <c r="Y326" s="53"/>
    </row>
    <row r="327" spans="1:25" ht="12.75">
      <c r="A327" s="16"/>
      <c r="C327" s="56"/>
      <c r="D327" s="57"/>
      <c r="E327" s="57"/>
      <c r="F327" s="57"/>
      <c r="I327" s="48"/>
      <c r="R327" s="48"/>
      <c r="S327" s="48"/>
      <c r="T327" s="53"/>
      <c r="V327" s="53"/>
      <c r="W327" s="53"/>
      <c r="X327" s="53"/>
      <c r="Y327" s="53"/>
    </row>
    <row r="328" spans="1:25" ht="12.75">
      <c r="A328" s="16"/>
      <c r="C328" s="56"/>
      <c r="D328" s="57"/>
      <c r="E328" s="57"/>
      <c r="F328" s="57"/>
      <c r="I328" s="48"/>
      <c r="R328" s="48"/>
      <c r="S328" s="48"/>
      <c r="T328" s="53"/>
      <c r="V328" s="53"/>
      <c r="W328" s="53"/>
      <c r="X328" s="53"/>
      <c r="Y328" s="53"/>
    </row>
    <row r="329" spans="1:25" ht="12.75">
      <c r="A329" s="16"/>
      <c r="C329" s="56"/>
      <c r="D329" s="57"/>
      <c r="E329" s="57"/>
      <c r="F329" s="57"/>
      <c r="I329" s="48"/>
      <c r="R329" s="48"/>
      <c r="S329" s="48"/>
      <c r="T329" s="53"/>
      <c r="V329" s="53"/>
      <c r="W329" s="53"/>
      <c r="X329" s="53"/>
      <c r="Y329" s="53"/>
    </row>
    <row r="330" spans="1:25" ht="12.75">
      <c r="A330" s="16"/>
      <c r="C330" s="56"/>
      <c r="D330" s="57"/>
      <c r="E330" s="57"/>
      <c r="F330" s="57"/>
      <c r="I330" s="48"/>
      <c r="R330" s="48"/>
      <c r="S330" s="48"/>
      <c r="T330" s="53"/>
      <c r="V330" s="53"/>
      <c r="W330" s="53"/>
      <c r="X330" s="53"/>
      <c r="Y330" s="53"/>
    </row>
    <row r="331" spans="1:25" ht="12.75">
      <c r="A331" s="16"/>
      <c r="C331" s="56"/>
      <c r="D331" s="57"/>
      <c r="E331" s="57"/>
      <c r="F331" s="57"/>
      <c r="I331" s="48"/>
      <c r="R331" s="48"/>
      <c r="S331" s="48"/>
      <c r="T331" s="53"/>
      <c r="V331" s="53"/>
      <c r="W331" s="53"/>
      <c r="X331" s="53"/>
      <c r="Y331" s="53"/>
    </row>
    <row r="332" spans="1:25" ht="12.75">
      <c r="A332" s="16"/>
      <c r="C332" s="56"/>
      <c r="D332" s="57"/>
      <c r="E332" s="57"/>
      <c r="F332" s="57"/>
      <c r="I332" s="48"/>
      <c r="R332" s="48"/>
      <c r="S332" s="48"/>
      <c r="T332" s="53"/>
      <c r="V332" s="53"/>
      <c r="W332" s="53"/>
      <c r="X332" s="53"/>
      <c r="Y332" s="53"/>
    </row>
    <row r="333" spans="1:25" ht="12.75">
      <c r="A333" s="16"/>
      <c r="C333" s="56"/>
      <c r="D333" s="57"/>
      <c r="E333" s="57"/>
      <c r="F333" s="57"/>
      <c r="I333" s="48"/>
      <c r="R333" s="48"/>
      <c r="S333" s="48"/>
      <c r="T333" s="53"/>
      <c r="V333" s="53"/>
      <c r="W333" s="53"/>
      <c r="X333" s="53"/>
      <c r="Y333" s="53"/>
    </row>
    <row r="334" spans="1:25" ht="12.75">
      <c r="A334" s="16"/>
      <c r="C334" s="56"/>
      <c r="D334" s="57"/>
      <c r="E334" s="57"/>
      <c r="F334" s="57"/>
      <c r="I334" s="48"/>
      <c r="R334" s="48"/>
      <c r="S334" s="48"/>
      <c r="T334" s="53"/>
      <c r="V334" s="53"/>
      <c r="W334" s="53"/>
      <c r="X334" s="53"/>
      <c r="Y334" s="53"/>
    </row>
    <row r="335" spans="1:25" ht="12.75">
      <c r="A335" s="16"/>
      <c r="C335" s="56"/>
      <c r="D335" s="57"/>
      <c r="E335" s="57"/>
      <c r="F335" s="57"/>
      <c r="I335" s="48"/>
      <c r="R335" s="48"/>
      <c r="S335" s="48"/>
      <c r="T335" s="53"/>
      <c r="V335" s="53"/>
      <c r="W335" s="53"/>
      <c r="X335" s="53"/>
      <c r="Y335" s="53"/>
    </row>
    <row r="336" spans="1:25" ht="12.75">
      <c r="A336" s="16"/>
      <c r="C336" s="56"/>
      <c r="D336" s="57"/>
      <c r="E336" s="57"/>
      <c r="F336" s="57"/>
      <c r="I336" s="48"/>
      <c r="R336" s="48"/>
      <c r="S336" s="48"/>
      <c r="T336" s="53"/>
      <c r="V336" s="53"/>
      <c r="W336" s="53"/>
      <c r="X336" s="53"/>
      <c r="Y336" s="53"/>
    </row>
    <row r="337" spans="1:25" ht="12.75">
      <c r="A337" s="16"/>
      <c r="C337" s="56"/>
      <c r="D337" s="57"/>
      <c r="E337" s="57"/>
      <c r="F337" s="57"/>
      <c r="I337" s="48"/>
      <c r="R337" s="48"/>
      <c r="S337" s="48"/>
      <c r="T337" s="53"/>
      <c r="V337" s="53"/>
      <c r="W337" s="53"/>
      <c r="X337" s="53"/>
      <c r="Y337" s="53"/>
    </row>
    <row r="338" spans="1:25" ht="12.75">
      <c r="A338" s="16"/>
      <c r="C338" s="56"/>
      <c r="D338" s="57"/>
      <c r="E338" s="57"/>
      <c r="F338" s="57"/>
      <c r="I338" s="48"/>
      <c r="R338" s="48"/>
      <c r="S338" s="48"/>
      <c r="T338" s="53"/>
      <c r="V338" s="53"/>
      <c r="W338" s="53"/>
      <c r="X338" s="53"/>
      <c r="Y338" s="53"/>
    </row>
    <row r="339" spans="1:25" ht="12.75">
      <c r="A339" s="16"/>
      <c r="C339" s="56"/>
      <c r="D339" s="57"/>
      <c r="E339" s="57"/>
      <c r="F339" s="57"/>
      <c r="I339" s="48"/>
      <c r="R339" s="48"/>
      <c r="S339" s="48"/>
      <c r="T339" s="53"/>
      <c r="V339" s="53"/>
      <c r="W339" s="53"/>
      <c r="X339" s="53"/>
      <c r="Y339" s="53"/>
    </row>
    <row r="340" spans="1:25" ht="12.75">
      <c r="A340" s="16"/>
      <c r="C340" s="56"/>
      <c r="D340" s="57"/>
      <c r="E340" s="57"/>
      <c r="F340" s="57"/>
      <c r="I340" s="48"/>
      <c r="R340" s="48"/>
      <c r="S340" s="48"/>
      <c r="T340" s="53"/>
      <c r="V340" s="53"/>
      <c r="W340" s="53"/>
      <c r="X340" s="53"/>
      <c r="Y340" s="53"/>
    </row>
    <row r="341" spans="1:25" ht="12.75">
      <c r="A341" s="16"/>
      <c r="C341" s="56"/>
      <c r="D341" s="57"/>
      <c r="E341" s="57"/>
      <c r="F341" s="57"/>
      <c r="I341" s="48"/>
      <c r="R341" s="48"/>
      <c r="S341" s="48"/>
      <c r="T341" s="53"/>
      <c r="V341" s="53"/>
      <c r="W341" s="53"/>
      <c r="X341" s="53"/>
      <c r="Y341" s="53"/>
    </row>
    <row r="342" spans="1:25" ht="12.75">
      <c r="A342" s="16"/>
      <c r="C342" s="56"/>
      <c r="D342" s="57"/>
      <c r="E342" s="57"/>
      <c r="F342" s="57"/>
      <c r="I342" s="48"/>
      <c r="R342" s="48"/>
      <c r="S342" s="48"/>
      <c r="T342" s="53"/>
      <c r="V342" s="53"/>
      <c r="W342" s="53"/>
      <c r="X342" s="53"/>
      <c r="Y342" s="53"/>
    </row>
    <row r="343" spans="1:25" ht="12.75">
      <c r="A343" s="16"/>
      <c r="C343" s="56"/>
      <c r="D343" s="57"/>
      <c r="E343" s="57"/>
      <c r="F343" s="57"/>
      <c r="I343" s="48"/>
      <c r="R343" s="48"/>
      <c r="S343" s="48"/>
      <c r="T343" s="53"/>
      <c r="V343" s="53"/>
      <c r="W343" s="53"/>
      <c r="X343" s="53"/>
      <c r="Y343" s="53"/>
    </row>
    <row r="344" spans="1:25" ht="12.75">
      <c r="A344" s="16"/>
      <c r="C344" s="56"/>
      <c r="D344" s="57"/>
      <c r="E344" s="57"/>
      <c r="F344" s="57"/>
      <c r="I344" s="48"/>
      <c r="R344" s="48"/>
      <c r="S344" s="48"/>
      <c r="T344" s="53"/>
      <c r="V344" s="53"/>
      <c r="W344" s="53"/>
      <c r="X344" s="53"/>
      <c r="Y344" s="53"/>
    </row>
    <row r="345" spans="1:25" ht="12.75">
      <c r="A345" s="16"/>
      <c r="C345" s="56"/>
      <c r="D345" s="57"/>
      <c r="E345" s="57"/>
      <c r="F345" s="57"/>
      <c r="I345" s="48"/>
      <c r="R345" s="48"/>
      <c r="S345" s="48"/>
      <c r="T345" s="53"/>
      <c r="V345" s="53"/>
      <c r="W345" s="53"/>
      <c r="X345" s="53"/>
      <c r="Y345" s="53"/>
    </row>
    <row r="346" spans="1:25" ht="12.75">
      <c r="A346" s="16"/>
      <c r="C346" s="56"/>
      <c r="D346" s="57"/>
      <c r="E346" s="57"/>
      <c r="F346" s="57"/>
      <c r="I346" s="48"/>
      <c r="R346" s="48"/>
      <c r="S346" s="48"/>
      <c r="T346" s="53"/>
      <c r="V346" s="53"/>
      <c r="W346" s="53"/>
      <c r="X346" s="53"/>
      <c r="Y346" s="53"/>
    </row>
    <row r="347" spans="1:25" ht="12.75">
      <c r="A347" s="16"/>
      <c r="C347" s="56"/>
      <c r="D347" s="57"/>
      <c r="E347" s="57"/>
      <c r="F347" s="57"/>
      <c r="I347" s="48"/>
      <c r="R347" s="48"/>
      <c r="S347" s="48"/>
      <c r="T347" s="53"/>
      <c r="V347" s="53"/>
      <c r="W347" s="53"/>
      <c r="X347" s="53"/>
      <c r="Y347" s="53"/>
    </row>
    <row r="348" spans="1:25" ht="12.75">
      <c r="A348" s="16"/>
      <c r="C348" s="56"/>
      <c r="D348" s="57"/>
      <c r="E348" s="57"/>
      <c r="F348" s="57"/>
      <c r="I348" s="48"/>
      <c r="R348" s="48"/>
      <c r="S348" s="48"/>
      <c r="T348" s="53"/>
      <c r="V348" s="53"/>
      <c r="W348" s="53"/>
      <c r="X348" s="53"/>
      <c r="Y348" s="53"/>
    </row>
    <row r="349" spans="1:25" ht="12.75">
      <c r="A349" s="16"/>
      <c r="C349" s="56"/>
      <c r="D349" s="57"/>
      <c r="E349" s="57"/>
      <c r="F349" s="57"/>
      <c r="I349" s="48"/>
      <c r="R349" s="48"/>
      <c r="S349" s="48"/>
      <c r="T349" s="53"/>
      <c r="V349" s="53"/>
      <c r="W349" s="53"/>
      <c r="X349" s="53"/>
      <c r="Y349" s="53"/>
    </row>
    <row r="350" spans="1:25" ht="12.75">
      <c r="A350" s="16"/>
      <c r="C350" s="56"/>
      <c r="D350" s="57"/>
      <c r="E350" s="57"/>
      <c r="F350" s="57"/>
      <c r="I350" s="48"/>
      <c r="R350" s="48"/>
      <c r="S350" s="48"/>
      <c r="T350" s="53"/>
      <c r="V350" s="53"/>
      <c r="W350" s="53"/>
      <c r="X350" s="53"/>
      <c r="Y350" s="53"/>
    </row>
    <row r="351" spans="1:25" ht="12.75">
      <c r="A351" s="16"/>
      <c r="C351" s="56"/>
      <c r="D351" s="57"/>
      <c r="E351" s="57"/>
      <c r="F351" s="57"/>
      <c r="I351" s="48"/>
      <c r="R351" s="48"/>
      <c r="S351" s="48"/>
      <c r="T351" s="53"/>
      <c r="V351" s="53"/>
      <c r="W351" s="53"/>
      <c r="X351" s="53"/>
      <c r="Y351" s="53"/>
    </row>
    <row r="352" spans="1:25" ht="12.75">
      <c r="A352" s="16"/>
      <c r="C352" s="56"/>
      <c r="D352" s="57"/>
      <c r="E352" s="57"/>
      <c r="F352" s="57"/>
      <c r="I352" s="48"/>
      <c r="R352" s="48"/>
      <c r="S352" s="48"/>
      <c r="T352" s="53"/>
      <c r="V352" s="53"/>
      <c r="W352" s="53"/>
      <c r="X352" s="53"/>
      <c r="Y352" s="53"/>
    </row>
    <row r="353" spans="1:25" ht="12.75">
      <c r="A353" s="16"/>
      <c r="C353" s="56"/>
      <c r="D353" s="57"/>
      <c r="E353" s="57"/>
      <c r="F353" s="57"/>
      <c r="I353" s="48"/>
      <c r="R353" s="48"/>
      <c r="S353" s="48"/>
      <c r="T353" s="53"/>
      <c r="V353" s="53"/>
      <c r="W353" s="53"/>
      <c r="X353" s="53"/>
      <c r="Y353" s="53"/>
    </row>
    <row r="354" spans="1:25" ht="12.75">
      <c r="A354" s="16"/>
      <c r="C354" s="56"/>
      <c r="D354" s="57"/>
      <c r="E354" s="57"/>
      <c r="F354" s="57"/>
      <c r="I354" s="48"/>
      <c r="R354" s="48"/>
      <c r="S354" s="48"/>
      <c r="T354" s="53"/>
      <c r="V354" s="53"/>
      <c r="W354" s="53"/>
      <c r="X354" s="53"/>
      <c r="Y354" s="53"/>
    </row>
    <row r="355" spans="1:25" ht="12.75">
      <c r="A355" s="16"/>
      <c r="C355" s="56"/>
      <c r="D355" s="57"/>
      <c r="E355" s="57"/>
      <c r="F355" s="57"/>
      <c r="I355" s="48"/>
      <c r="R355" s="48"/>
      <c r="S355" s="48"/>
      <c r="T355" s="53"/>
      <c r="V355" s="53"/>
      <c r="W355" s="53"/>
      <c r="X355" s="53"/>
      <c r="Y355" s="53"/>
    </row>
    <row r="356" spans="1:25" ht="12.75">
      <c r="A356" s="16"/>
      <c r="C356" s="56"/>
      <c r="D356" s="57"/>
      <c r="E356" s="57"/>
      <c r="F356" s="57"/>
      <c r="I356" s="48"/>
      <c r="R356" s="48"/>
      <c r="S356" s="48"/>
      <c r="T356" s="53"/>
      <c r="V356" s="53"/>
      <c r="W356" s="53"/>
      <c r="X356" s="53"/>
      <c r="Y356" s="53"/>
    </row>
    <row r="357" spans="1:25" ht="12.75">
      <c r="A357" s="16"/>
      <c r="C357" s="56"/>
      <c r="D357" s="57"/>
      <c r="E357" s="57"/>
      <c r="F357" s="57"/>
      <c r="I357" s="48"/>
      <c r="R357" s="48"/>
      <c r="S357" s="48"/>
      <c r="T357" s="53"/>
      <c r="V357" s="53"/>
      <c r="W357" s="53"/>
      <c r="X357" s="53"/>
      <c r="Y357" s="53"/>
    </row>
    <row r="358" spans="1:25" ht="12.75">
      <c r="A358" s="16"/>
      <c r="C358" s="56"/>
      <c r="D358" s="57"/>
      <c r="E358" s="57"/>
      <c r="F358" s="57"/>
      <c r="I358" s="48"/>
      <c r="R358" s="48"/>
      <c r="S358" s="48"/>
      <c r="T358" s="53"/>
      <c r="V358" s="53"/>
      <c r="W358" s="53"/>
      <c r="X358" s="53"/>
      <c r="Y358" s="53"/>
    </row>
    <row r="359" spans="1:25" ht="12.75">
      <c r="A359" s="16"/>
      <c r="C359" s="56"/>
      <c r="D359" s="57"/>
      <c r="E359" s="57"/>
      <c r="F359" s="57"/>
      <c r="I359" s="48"/>
      <c r="R359" s="48"/>
      <c r="S359" s="48"/>
      <c r="T359" s="53"/>
      <c r="V359" s="53"/>
      <c r="W359" s="53"/>
      <c r="X359" s="53"/>
      <c r="Y359" s="53"/>
    </row>
    <row r="360" spans="1:25" ht="12.75">
      <c r="A360" s="16"/>
      <c r="C360" s="56"/>
      <c r="D360" s="57"/>
      <c r="E360" s="57"/>
      <c r="F360" s="57"/>
      <c r="I360" s="48"/>
      <c r="R360" s="48"/>
      <c r="S360" s="48"/>
      <c r="T360" s="53"/>
      <c r="V360" s="53"/>
      <c r="W360" s="53"/>
      <c r="X360" s="53"/>
      <c r="Y360" s="53"/>
    </row>
    <row r="361" spans="1:25" ht="12.75">
      <c r="A361" s="16"/>
      <c r="C361" s="56"/>
      <c r="D361" s="57"/>
      <c r="E361" s="57"/>
      <c r="F361" s="57"/>
      <c r="I361" s="48"/>
      <c r="R361" s="48"/>
      <c r="S361" s="48"/>
      <c r="T361" s="53"/>
      <c r="V361" s="53"/>
      <c r="W361" s="53"/>
      <c r="X361" s="53"/>
      <c r="Y361" s="53"/>
    </row>
    <row r="362" spans="1:25" ht="12.75">
      <c r="A362" s="16"/>
      <c r="C362" s="56"/>
      <c r="D362" s="57"/>
      <c r="E362" s="57"/>
      <c r="F362" s="57"/>
      <c r="I362" s="48"/>
      <c r="R362" s="48"/>
      <c r="S362" s="48"/>
      <c r="T362" s="53"/>
      <c r="V362" s="53"/>
      <c r="W362" s="53"/>
      <c r="X362" s="53"/>
      <c r="Y362" s="53"/>
    </row>
    <row r="363" spans="1:25" ht="12.75">
      <c r="A363" s="16"/>
      <c r="C363" s="56"/>
      <c r="D363" s="57"/>
      <c r="E363" s="57"/>
      <c r="F363" s="57"/>
      <c r="I363" s="48"/>
      <c r="R363" s="48"/>
      <c r="S363" s="48"/>
      <c r="T363" s="53"/>
      <c r="V363" s="53"/>
      <c r="W363" s="53"/>
      <c r="X363" s="53"/>
      <c r="Y363" s="53"/>
    </row>
    <row r="364" spans="1:25" ht="12.75">
      <c r="A364" s="16"/>
      <c r="C364" s="56"/>
      <c r="D364" s="57"/>
      <c r="E364" s="57"/>
      <c r="F364" s="57"/>
      <c r="I364" s="48"/>
      <c r="R364" s="48"/>
      <c r="S364" s="48"/>
      <c r="T364" s="53"/>
      <c r="V364" s="53"/>
      <c r="W364" s="53"/>
      <c r="X364" s="53"/>
      <c r="Y364" s="53"/>
    </row>
    <row r="365" spans="1:25" ht="12.75">
      <c r="A365" s="16"/>
      <c r="C365" s="56"/>
      <c r="D365" s="57"/>
      <c r="E365" s="57"/>
      <c r="F365" s="57"/>
      <c r="I365" s="48"/>
      <c r="R365" s="48"/>
      <c r="S365" s="48"/>
      <c r="T365" s="53"/>
      <c r="V365" s="53"/>
      <c r="W365" s="53"/>
      <c r="X365" s="53"/>
      <c r="Y365" s="53"/>
    </row>
    <row r="366" spans="1:25" ht="12.75">
      <c r="A366" s="16"/>
      <c r="C366" s="56"/>
      <c r="D366" s="57"/>
      <c r="E366" s="57"/>
      <c r="F366" s="57"/>
      <c r="I366" s="48"/>
      <c r="R366" s="48"/>
      <c r="S366" s="48"/>
      <c r="T366" s="53"/>
      <c r="V366" s="53"/>
      <c r="W366" s="53"/>
      <c r="X366" s="53"/>
      <c r="Y366" s="53"/>
    </row>
    <row r="367" spans="1:25" ht="12.75">
      <c r="A367" s="16"/>
      <c r="C367" s="56"/>
      <c r="D367" s="57"/>
      <c r="E367" s="57"/>
      <c r="F367" s="57"/>
      <c r="I367" s="48"/>
      <c r="R367" s="48"/>
      <c r="S367" s="48"/>
      <c r="T367" s="53"/>
      <c r="V367" s="53"/>
      <c r="W367" s="53"/>
      <c r="X367" s="53"/>
      <c r="Y367" s="53"/>
    </row>
    <row r="368" spans="1:25" ht="12.75">
      <c r="A368" s="16"/>
      <c r="C368" s="56"/>
      <c r="D368" s="57"/>
      <c r="E368" s="57"/>
      <c r="F368" s="57"/>
      <c r="I368" s="48"/>
      <c r="R368" s="48"/>
      <c r="S368" s="48"/>
      <c r="T368" s="53"/>
      <c r="V368" s="53"/>
      <c r="W368" s="53"/>
      <c r="X368" s="53"/>
      <c r="Y368" s="53"/>
    </row>
    <row r="369" spans="1:25" ht="12.75">
      <c r="A369" s="16"/>
      <c r="C369" s="56"/>
      <c r="D369" s="57"/>
      <c r="E369" s="57"/>
      <c r="F369" s="57"/>
      <c r="I369" s="48"/>
      <c r="R369" s="48"/>
      <c r="S369" s="48"/>
      <c r="T369" s="53"/>
      <c r="V369" s="53"/>
      <c r="W369" s="53"/>
      <c r="X369" s="53"/>
      <c r="Y369" s="53"/>
    </row>
    <row r="370" spans="1:25" ht="12.75">
      <c r="A370" s="16"/>
      <c r="C370" s="56"/>
      <c r="D370" s="57"/>
      <c r="E370" s="57"/>
      <c r="F370" s="57"/>
      <c r="I370" s="48"/>
      <c r="R370" s="48"/>
      <c r="S370" s="48"/>
      <c r="T370" s="53"/>
      <c r="V370" s="53"/>
      <c r="W370" s="53"/>
      <c r="X370" s="53"/>
      <c r="Y370" s="53"/>
    </row>
    <row r="371" spans="1:25" ht="12.75">
      <c r="A371" s="16"/>
      <c r="R371" s="48"/>
      <c r="S371" s="48"/>
      <c r="T371" s="53"/>
      <c r="V371" s="53"/>
      <c r="W371" s="53"/>
      <c r="X371" s="53"/>
      <c r="Y371" s="53"/>
    </row>
    <row r="372" spans="1:25" ht="12.75">
      <c r="A372" s="16"/>
      <c r="R372" s="48"/>
      <c r="S372" s="48"/>
      <c r="T372" s="53"/>
      <c r="V372" s="53"/>
      <c r="W372" s="53"/>
      <c r="X372" s="53"/>
      <c r="Y372" s="53"/>
    </row>
    <row r="373" spans="1:25" ht="12.75">
      <c r="A373" s="16"/>
      <c r="R373" s="48"/>
      <c r="S373" s="48"/>
      <c r="T373" s="53"/>
      <c r="V373" s="53"/>
      <c r="W373" s="53"/>
      <c r="X373" s="53"/>
      <c r="Y373" s="53"/>
    </row>
    <row r="374" spans="1:25" ht="12.75">
      <c r="A374" s="16"/>
      <c r="R374" s="48"/>
      <c r="S374" s="48"/>
      <c r="T374" s="53"/>
      <c r="V374" s="53"/>
      <c r="W374" s="53"/>
      <c r="X374" s="53"/>
      <c r="Y374" s="53"/>
    </row>
    <row r="375" spans="1:25" ht="12.75">
      <c r="A375" s="16"/>
      <c r="C375" s="56"/>
      <c r="D375" s="57"/>
      <c r="E375" s="57"/>
      <c r="F375" s="57"/>
      <c r="G375" s="48"/>
      <c r="H375" s="48"/>
      <c r="I375" s="48"/>
      <c r="J375" s="48"/>
      <c r="K375" s="48"/>
      <c r="L375" s="48"/>
      <c r="M375" s="48"/>
      <c r="N375" s="48"/>
      <c r="O375" s="48"/>
      <c r="P375" s="48"/>
      <c r="Q375" s="48"/>
      <c r="R375" s="48"/>
      <c r="S375" s="48"/>
      <c r="T375" s="53"/>
      <c r="V375" s="53"/>
      <c r="W375" s="53"/>
      <c r="X375" s="53"/>
      <c r="Y375" s="53"/>
    </row>
    <row r="376" spans="1:25" ht="12.75">
      <c r="A376" s="16"/>
      <c r="C376" s="56"/>
      <c r="D376" s="57"/>
      <c r="E376" s="57"/>
      <c r="F376" s="57"/>
      <c r="G376" s="48"/>
      <c r="H376" s="48"/>
      <c r="I376" s="48"/>
      <c r="J376" s="48"/>
      <c r="K376" s="48"/>
      <c r="L376" s="48"/>
      <c r="M376" s="48"/>
      <c r="N376" s="48"/>
      <c r="O376" s="48"/>
      <c r="P376" s="48"/>
      <c r="Q376" s="48"/>
      <c r="R376" s="48"/>
      <c r="S376" s="48"/>
      <c r="T376" s="53"/>
      <c r="V376" s="53"/>
      <c r="W376" s="53"/>
      <c r="X376" s="53"/>
      <c r="Y376" s="53"/>
    </row>
    <row r="377" spans="1:25" ht="12.75">
      <c r="A377" s="16"/>
      <c r="C377" s="56"/>
      <c r="D377" s="57"/>
      <c r="E377" s="57"/>
      <c r="F377" s="57"/>
      <c r="G377" s="48"/>
      <c r="H377" s="48"/>
      <c r="I377" s="48"/>
      <c r="J377" s="48"/>
      <c r="K377" s="48"/>
      <c r="L377" s="48"/>
      <c r="M377" s="48"/>
      <c r="N377" s="48"/>
      <c r="O377" s="48"/>
      <c r="P377" s="48"/>
      <c r="Q377" s="48"/>
      <c r="R377" s="48"/>
      <c r="S377" s="48"/>
      <c r="T377" s="53"/>
      <c r="V377" s="53"/>
      <c r="W377" s="53"/>
      <c r="X377" s="53"/>
      <c r="Y377" s="53"/>
    </row>
    <row r="378" spans="1:25" ht="12.75">
      <c r="A378" s="16"/>
      <c r="C378" s="56"/>
      <c r="D378" s="57"/>
      <c r="E378" s="57"/>
      <c r="F378" s="57"/>
      <c r="G378" s="48"/>
      <c r="H378" s="48"/>
      <c r="I378" s="48"/>
      <c r="J378" s="48"/>
      <c r="K378" s="48"/>
      <c r="L378" s="48"/>
      <c r="M378" s="48"/>
      <c r="N378" s="48"/>
      <c r="O378" s="48"/>
      <c r="P378" s="48"/>
      <c r="Q378" s="48"/>
      <c r="R378" s="48"/>
      <c r="S378" s="48"/>
      <c r="T378" s="53"/>
      <c r="V378" s="53"/>
      <c r="W378" s="53"/>
      <c r="X378" s="53"/>
      <c r="Y378" s="53"/>
    </row>
    <row r="379" spans="1:25" ht="12.75">
      <c r="A379" s="16"/>
      <c r="C379" s="56"/>
      <c r="D379" s="57"/>
      <c r="E379" s="57"/>
      <c r="F379" s="57"/>
      <c r="G379" s="48"/>
      <c r="H379" s="48"/>
      <c r="I379" s="48"/>
      <c r="J379" s="48"/>
      <c r="K379" s="48"/>
      <c r="L379" s="48"/>
      <c r="M379" s="48"/>
      <c r="N379" s="48"/>
      <c r="O379" s="48"/>
      <c r="P379" s="48"/>
      <c r="Q379" s="48"/>
      <c r="R379" s="48"/>
      <c r="S379" s="48"/>
      <c r="T379" s="53"/>
      <c r="V379" s="53"/>
      <c r="W379" s="53"/>
      <c r="X379" s="53"/>
      <c r="Y379" s="53"/>
    </row>
    <row r="380" spans="1:25" ht="12.75">
      <c r="A380" s="16"/>
      <c r="C380" s="56"/>
      <c r="D380" s="57"/>
      <c r="E380" s="57"/>
      <c r="F380" s="57"/>
      <c r="G380" s="48"/>
      <c r="H380" s="48"/>
      <c r="I380" s="48"/>
      <c r="J380" s="48"/>
      <c r="K380" s="48"/>
      <c r="L380" s="48"/>
      <c r="M380" s="48"/>
      <c r="N380" s="48"/>
      <c r="O380" s="48"/>
      <c r="P380" s="48"/>
      <c r="Q380" s="48"/>
      <c r="R380" s="48"/>
      <c r="S380" s="48"/>
      <c r="T380" s="53"/>
      <c r="V380" s="53"/>
      <c r="W380" s="53"/>
      <c r="X380" s="53"/>
      <c r="Y380" s="53"/>
    </row>
    <row r="381" spans="1:25" ht="12.75">
      <c r="A381" s="16"/>
      <c r="C381" s="56"/>
      <c r="D381" s="57"/>
      <c r="E381" s="57"/>
      <c r="F381" s="57"/>
      <c r="G381" s="48"/>
      <c r="H381" s="48"/>
      <c r="I381" s="48"/>
      <c r="J381" s="48"/>
      <c r="K381" s="48"/>
      <c r="L381" s="48"/>
      <c r="M381" s="48"/>
      <c r="N381" s="48"/>
      <c r="O381" s="48"/>
      <c r="P381" s="48"/>
      <c r="Q381" s="48"/>
      <c r="R381" s="48"/>
      <c r="S381" s="48"/>
      <c r="T381" s="53"/>
      <c r="V381" s="53"/>
      <c r="W381" s="53"/>
      <c r="X381" s="53"/>
      <c r="Y381" s="53"/>
    </row>
    <row r="382" spans="1:25" ht="12.75">
      <c r="A382" s="16"/>
      <c r="C382" s="56"/>
      <c r="D382" s="57"/>
      <c r="E382" s="57"/>
      <c r="F382" s="57"/>
      <c r="G382" s="48"/>
      <c r="H382" s="48"/>
      <c r="I382" s="48"/>
      <c r="J382" s="48"/>
      <c r="K382" s="48"/>
      <c r="L382" s="48"/>
      <c r="M382" s="48"/>
      <c r="N382" s="48"/>
      <c r="O382" s="48"/>
      <c r="P382" s="48"/>
      <c r="Q382" s="48"/>
      <c r="R382" s="48"/>
      <c r="S382" s="48"/>
      <c r="T382" s="53"/>
      <c r="V382" s="53"/>
      <c r="W382" s="53"/>
      <c r="X382" s="53"/>
      <c r="Y382" s="53"/>
    </row>
    <row r="383" spans="1:25" ht="12.75">
      <c r="A383" s="16"/>
      <c r="C383" s="56"/>
      <c r="D383" s="57"/>
      <c r="E383" s="57"/>
      <c r="F383" s="57"/>
      <c r="G383" s="48"/>
      <c r="H383" s="48"/>
      <c r="I383" s="48"/>
      <c r="J383" s="48"/>
      <c r="K383" s="48"/>
      <c r="L383" s="48"/>
      <c r="M383" s="48"/>
      <c r="N383" s="48"/>
      <c r="O383" s="48"/>
      <c r="P383" s="48"/>
      <c r="Q383" s="48"/>
      <c r="R383" s="48"/>
      <c r="S383" s="48"/>
      <c r="T383" s="53"/>
      <c r="V383" s="53"/>
      <c r="W383" s="53"/>
      <c r="X383" s="53"/>
      <c r="Y383" s="53"/>
    </row>
    <row r="384" spans="1:25" ht="12.75">
      <c r="A384" s="16"/>
      <c r="C384" s="56"/>
      <c r="D384" s="57"/>
      <c r="E384" s="57"/>
      <c r="F384" s="57"/>
      <c r="G384" s="48"/>
      <c r="H384" s="48"/>
      <c r="I384" s="48"/>
      <c r="J384" s="48"/>
      <c r="K384" s="48"/>
      <c r="L384" s="48"/>
      <c r="M384" s="48"/>
      <c r="N384" s="48"/>
      <c r="O384" s="48"/>
      <c r="P384" s="48"/>
      <c r="Q384" s="48"/>
      <c r="R384" s="48"/>
      <c r="S384" s="48"/>
      <c r="T384" s="53"/>
      <c r="V384" s="53"/>
      <c r="W384" s="53"/>
      <c r="X384" s="53"/>
      <c r="Y384" s="53"/>
    </row>
    <row r="385" spans="1:25" ht="12.75">
      <c r="A385" s="16"/>
      <c r="C385" s="56"/>
      <c r="D385" s="57"/>
      <c r="E385" s="57"/>
      <c r="F385" s="57"/>
      <c r="G385" s="48"/>
      <c r="H385" s="48"/>
      <c r="I385" s="48"/>
      <c r="J385" s="48"/>
      <c r="K385" s="48"/>
      <c r="L385" s="48"/>
      <c r="M385" s="48"/>
      <c r="N385" s="48"/>
      <c r="O385" s="48"/>
      <c r="P385" s="48"/>
      <c r="Q385" s="48"/>
      <c r="R385" s="48"/>
      <c r="S385" s="48"/>
      <c r="T385" s="53"/>
      <c r="V385" s="53"/>
      <c r="W385" s="53"/>
      <c r="X385" s="53"/>
      <c r="Y385" s="53"/>
    </row>
    <row r="386" spans="1:25" ht="12.75">
      <c r="A386" s="16"/>
      <c r="C386" s="56"/>
      <c r="D386" s="57"/>
      <c r="E386" s="57"/>
      <c r="F386" s="57"/>
      <c r="G386" s="48"/>
      <c r="H386" s="48"/>
      <c r="I386" s="48"/>
      <c r="J386" s="48"/>
      <c r="K386" s="48"/>
      <c r="L386" s="48"/>
      <c r="M386" s="48"/>
      <c r="N386" s="48"/>
      <c r="O386" s="48"/>
      <c r="P386" s="48"/>
      <c r="Q386" s="48"/>
      <c r="R386" s="48"/>
      <c r="S386" s="48"/>
      <c r="T386" s="53"/>
      <c r="V386" s="53"/>
      <c r="W386" s="53"/>
      <c r="X386" s="53"/>
      <c r="Y386" s="53"/>
    </row>
    <row r="387" spans="1:25" ht="12.75">
      <c r="A387" s="16"/>
      <c r="C387" s="56"/>
      <c r="D387" s="57"/>
      <c r="E387" s="57"/>
      <c r="F387" s="57"/>
      <c r="G387" s="48"/>
      <c r="H387" s="48"/>
      <c r="I387" s="48"/>
      <c r="J387" s="48"/>
      <c r="K387" s="48"/>
      <c r="L387" s="48"/>
      <c r="M387" s="48"/>
      <c r="N387" s="48"/>
      <c r="O387" s="48"/>
      <c r="P387" s="48"/>
      <c r="Q387" s="48"/>
      <c r="R387" s="48"/>
      <c r="S387" s="48"/>
      <c r="T387" s="53"/>
      <c r="V387" s="53"/>
      <c r="W387" s="53"/>
      <c r="X387" s="53"/>
      <c r="Y387" s="53"/>
    </row>
    <row r="388" spans="1:25" ht="12.75">
      <c r="A388" s="16"/>
      <c r="C388" s="56"/>
      <c r="D388" s="57"/>
      <c r="E388" s="57"/>
      <c r="F388" s="57"/>
      <c r="G388" s="48"/>
      <c r="H388" s="48"/>
      <c r="I388" s="48"/>
      <c r="J388" s="48"/>
      <c r="K388" s="48"/>
      <c r="L388" s="48"/>
      <c r="M388" s="48"/>
      <c r="N388" s="48"/>
      <c r="O388" s="48"/>
      <c r="P388" s="48"/>
      <c r="Q388" s="48"/>
      <c r="R388" s="48"/>
      <c r="S388" s="48"/>
      <c r="T388" s="53"/>
      <c r="V388" s="53"/>
      <c r="W388" s="53"/>
      <c r="X388" s="53"/>
      <c r="Y388" s="53"/>
    </row>
    <row r="389" spans="1:25" ht="12.75">
      <c r="A389" s="16"/>
      <c r="C389" s="56"/>
      <c r="D389" s="57"/>
      <c r="E389" s="57"/>
      <c r="F389" s="57"/>
      <c r="G389" s="48"/>
      <c r="H389" s="48"/>
      <c r="I389" s="48"/>
      <c r="J389" s="48"/>
      <c r="K389" s="48"/>
      <c r="L389" s="48"/>
      <c r="M389" s="48"/>
      <c r="N389" s="48"/>
      <c r="O389" s="48"/>
      <c r="P389" s="48"/>
      <c r="Q389" s="48"/>
      <c r="R389" s="48"/>
      <c r="S389" s="48"/>
      <c r="T389" s="53"/>
      <c r="V389" s="53"/>
      <c r="W389" s="53"/>
      <c r="X389" s="53"/>
      <c r="Y389" s="53"/>
    </row>
    <row r="390" spans="1:25" ht="12.75">
      <c r="A390" s="16"/>
      <c r="C390" s="56"/>
      <c r="D390" s="57"/>
      <c r="E390" s="57"/>
      <c r="F390" s="57"/>
      <c r="G390" s="48"/>
      <c r="H390" s="48"/>
      <c r="I390" s="48"/>
      <c r="J390" s="48"/>
      <c r="K390" s="48"/>
      <c r="L390" s="48"/>
      <c r="M390" s="48"/>
      <c r="N390" s="48"/>
      <c r="O390" s="48"/>
      <c r="P390" s="48"/>
      <c r="Q390" s="48"/>
      <c r="R390" s="48"/>
      <c r="S390" s="48"/>
      <c r="T390" s="53"/>
      <c r="V390" s="53"/>
      <c r="W390" s="53"/>
      <c r="X390" s="53"/>
      <c r="Y390" s="53"/>
    </row>
    <row r="391" spans="1:25" ht="12.75">
      <c r="A391" s="16"/>
      <c r="C391" s="56"/>
      <c r="D391" s="57"/>
      <c r="E391" s="57"/>
      <c r="F391" s="57"/>
      <c r="G391" s="48"/>
      <c r="H391" s="48"/>
      <c r="I391" s="48"/>
      <c r="J391" s="48"/>
      <c r="K391" s="48"/>
      <c r="L391" s="48"/>
      <c r="M391" s="48"/>
      <c r="N391" s="48"/>
      <c r="O391" s="48"/>
      <c r="P391" s="48"/>
      <c r="Q391" s="48"/>
      <c r="R391" s="48"/>
      <c r="S391" s="48"/>
      <c r="T391" s="53"/>
      <c r="V391" s="53"/>
      <c r="W391" s="53"/>
      <c r="X391" s="53"/>
      <c r="Y391" s="53"/>
    </row>
    <row r="392" spans="1:25" ht="12.75">
      <c r="A392" s="16"/>
      <c r="C392" s="56"/>
      <c r="D392" s="57"/>
      <c r="E392" s="57"/>
      <c r="F392" s="57"/>
      <c r="G392" s="48"/>
      <c r="H392" s="48"/>
      <c r="I392" s="48"/>
      <c r="J392" s="48"/>
      <c r="K392" s="48"/>
      <c r="L392" s="48"/>
      <c r="M392" s="48"/>
      <c r="N392" s="48"/>
      <c r="O392" s="48"/>
      <c r="P392" s="48"/>
      <c r="Q392" s="48"/>
      <c r="R392" s="48"/>
      <c r="S392" s="48"/>
      <c r="T392" s="53"/>
      <c r="V392" s="53"/>
      <c r="W392" s="53"/>
      <c r="X392" s="53"/>
      <c r="Y392" s="53"/>
    </row>
    <row r="393" spans="1:25" ht="12.75">
      <c r="A393" s="16"/>
      <c r="C393" s="56"/>
      <c r="D393" s="57"/>
      <c r="E393" s="57"/>
      <c r="F393" s="57"/>
      <c r="G393" s="48"/>
      <c r="H393" s="48"/>
      <c r="I393" s="48"/>
      <c r="J393" s="48"/>
      <c r="K393" s="48"/>
      <c r="L393" s="48"/>
      <c r="M393" s="48"/>
      <c r="N393" s="48"/>
      <c r="O393" s="48"/>
      <c r="P393" s="48"/>
      <c r="Q393" s="48"/>
      <c r="R393" s="48"/>
      <c r="S393" s="48"/>
      <c r="T393" s="53"/>
      <c r="V393" s="53"/>
      <c r="W393" s="53"/>
      <c r="X393" s="53"/>
      <c r="Y393" s="53"/>
    </row>
    <row r="394" spans="1:25" ht="12.75">
      <c r="A394" s="16"/>
      <c r="C394" s="56"/>
      <c r="D394" s="57"/>
      <c r="E394" s="57"/>
      <c r="F394" s="57"/>
      <c r="G394" s="48"/>
      <c r="H394" s="48"/>
      <c r="I394" s="48"/>
      <c r="J394" s="48"/>
      <c r="K394" s="48"/>
      <c r="L394" s="48"/>
      <c r="M394" s="48"/>
      <c r="N394" s="48"/>
      <c r="O394" s="48"/>
      <c r="P394" s="48"/>
      <c r="Q394" s="48"/>
      <c r="R394" s="48"/>
      <c r="S394" s="48"/>
      <c r="T394" s="53"/>
      <c r="V394" s="53"/>
      <c r="W394" s="53"/>
      <c r="X394" s="53"/>
      <c r="Y394" s="53"/>
    </row>
    <row r="395" spans="1:25" ht="12.75">
      <c r="A395" s="16"/>
      <c r="C395" s="56"/>
      <c r="D395" s="57"/>
      <c r="E395" s="57"/>
      <c r="F395" s="57"/>
      <c r="G395" s="48"/>
      <c r="H395" s="48"/>
      <c r="I395" s="48"/>
      <c r="J395" s="48"/>
      <c r="K395" s="48"/>
      <c r="L395" s="48"/>
      <c r="M395" s="48"/>
      <c r="N395" s="48"/>
      <c r="O395" s="48"/>
      <c r="P395" s="48"/>
      <c r="Q395" s="48"/>
      <c r="R395" s="48"/>
      <c r="S395" s="48"/>
      <c r="T395" s="53"/>
      <c r="V395" s="53"/>
      <c r="W395" s="53"/>
      <c r="X395" s="53"/>
      <c r="Y395" s="53"/>
    </row>
    <row r="396" spans="1:25" ht="12.75">
      <c r="A396" s="16"/>
      <c r="C396" s="56"/>
      <c r="D396" s="57"/>
      <c r="E396" s="57"/>
      <c r="F396" s="57"/>
      <c r="G396" s="48"/>
      <c r="H396" s="48"/>
      <c r="I396" s="48"/>
      <c r="J396" s="48"/>
      <c r="K396" s="48"/>
      <c r="L396" s="48"/>
      <c r="M396" s="48"/>
      <c r="N396" s="48"/>
      <c r="O396" s="48"/>
      <c r="P396" s="48"/>
      <c r="Q396" s="48"/>
      <c r="R396" s="48"/>
      <c r="S396" s="48"/>
      <c r="T396" s="53"/>
      <c r="V396" s="53"/>
      <c r="W396" s="53"/>
      <c r="X396" s="53"/>
      <c r="Y396" s="53"/>
    </row>
    <row r="397" spans="1:25" ht="12.75">
      <c r="A397" s="16"/>
      <c r="C397" s="56"/>
      <c r="D397" s="57"/>
      <c r="E397" s="57"/>
      <c r="F397" s="57"/>
      <c r="G397" s="48"/>
      <c r="H397" s="48"/>
      <c r="I397" s="48"/>
      <c r="J397" s="48"/>
      <c r="K397" s="48"/>
      <c r="L397" s="48"/>
      <c r="M397" s="48"/>
      <c r="N397" s="48"/>
      <c r="O397" s="48"/>
      <c r="P397" s="48"/>
      <c r="Q397" s="48"/>
      <c r="R397" s="48"/>
      <c r="S397" s="48"/>
      <c r="T397" s="53"/>
      <c r="V397" s="53"/>
      <c r="W397" s="53"/>
      <c r="X397" s="53"/>
      <c r="Y397" s="53"/>
    </row>
    <row r="398" spans="1:25" ht="12.75">
      <c r="A398" s="16"/>
      <c r="C398" s="56"/>
      <c r="D398" s="57"/>
      <c r="E398" s="57"/>
      <c r="F398" s="57"/>
      <c r="G398" s="48"/>
      <c r="H398" s="48"/>
      <c r="I398" s="48"/>
      <c r="J398" s="48"/>
      <c r="K398" s="48"/>
      <c r="L398" s="48"/>
      <c r="M398" s="48"/>
      <c r="N398" s="48"/>
      <c r="O398" s="48"/>
      <c r="P398" s="48"/>
      <c r="Q398" s="48"/>
      <c r="R398" s="48"/>
      <c r="S398" s="48"/>
      <c r="T398" s="53"/>
      <c r="V398" s="53"/>
      <c r="W398" s="53"/>
      <c r="X398" s="53"/>
      <c r="Y398" s="53"/>
    </row>
    <row r="399" spans="1:25" ht="12.75">
      <c r="A399" s="16"/>
      <c r="C399" s="56"/>
      <c r="D399" s="57"/>
      <c r="E399" s="57"/>
      <c r="F399" s="57"/>
      <c r="G399" s="48"/>
      <c r="H399" s="48"/>
      <c r="I399" s="48"/>
      <c r="J399" s="48"/>
      <c r="K399" s="48"/>
      <c r="L399" s="48"/>
      <c r="M399" s="48"/>
      <c r="N399" s="48"/>
      <c r="O399" s="48"/>
      <c r="P399" s="48"/>
      <c r="Q399" s="48"/>
      <c r="R399" s="48"/>
      <c r="S399" s="48"/>
      <c r="T399" s="53"/>
      <c r="V399" s="53"/>
      <c r="W399" s="53"/>
      <c r="X399" s="53"/>
      <c r="Y399" s="53"/>
    </row>
    <row r="400" spans="1:25" ht="12.75">
      <c r="A400" s="16"/>
      <c r="C400" s="56"/>
      <c r="D400" s="57"/>
      <c r="E400" s="57"/>
      <c r="F400" s="57"/>
      <c r="G400" s="48"/>
      <c r="H400" s="48"/>
      <c r="I400" s="48"/>
      <c r="J400" s="48"/>
      <c r="K400" s="48"/>
      <c r="L400" s="48"/>
      <c r="M400" s="48"/>
      <c r="N400" s="48"/>
      <c r="O400" s="48"/>
      <c r="P400" s="48"/>
      <c r="Q400" s="48"/>
      <c r="R400" s="48"/>
      <c r="S400" s="48"/>
      <c r="T400" s="53"/>
      <c r="V400" s="53"/>
      <c r="W400" s="53"/>
      <c r="X400" s="53"/>
      <c r="Y400" s="53"/>
    </row>
    <row r="401" spans="1:25" ht="12.75">
      <c r="A401" s="16"/>
      <c r="C401" s="56"/>
      <c r="D401" s="57"/>
      <c r="E401" s="57"/>
      <c r="F401" s="57"/>
      <c r="G401" s="48"/>
      <c r="H401" s="48"/>
      <c r="I401" s="48"/>
      <c r="J401" s="48"/>
      <c r="K401" s="48"/>
      <c r="L401" s="48"/>
      <c r="M401" s="48"/>
      <c r="N401" s="48"/>
      <c r="O401" s="48"/>
      <c r="P401" s="48"/>
      <c r="Q401" s="48"/>
      <c r="R401" s="48"/>
      <c r="S401" s="48"/>
      <c r="T401" s="53"/>
      <c r="V401" s="53"/>
      <c r="W401" s="53"/>
      <c r="X401" s="53"/>
      <c r="Y401" s="53"/>
    </row>
    <row r="402" spans="1:25" ht="12.75">
      <c r="A402" s="16"/>
      <c r="C402" s="56"/>
      <c r="D402" s="57"/>
      <c r="E402" s="57"/>
      <c r="F402" s="57"/>
      <c r="G402" s="48"/>
      <c r="H402" s="48"/>
      <c r="I402" s="48"/>
      <c r="J402" s="48"/>
      <c r="K402" s="48"/>
      <c r="L402" s="48"/>
      <c r="M402" s="48"/>
      <c r="N402" s="48"/>
      <c r="O402" s="48"/>
      <c r="P402" s="48"/>
      <c r="Q402" s="48"/>
      <c r="R402" s="48"/>
      <c r="S402" s="48"/>
      <c r="T402" s="53"/>
      <c r="V402" s="53"/>
      <c r="W402" s="53"/>
      <c r="X402" s="53"/>
      <c r="Y402" s="53"/>
    </row>
    <row r="403" spans="1:25" ht="12.75">
      <c r="A403" s="16"/>
      <c r="C403" s="56"/>
      <c r="D403" s="57"/>
      <c r="E403" s="57"/>
      <c r="F403" s="57"/>
      <c r="G403" s="48"/>
      <c r="H403" s="48"/>
      <c r="I403" s="48"/>
      <c r="J403" s="48"/>
      <c r="K403" s="48"/>
      <c r="L403" s="48"/>
      <c r="M403" s="48"/>
      <c r="N403" s="48"/>
      <c r="O403" s="48"/>
      <c r="P403" s="48"/>
      <c r="Q403" s="48"/>
      <c r="R403" s="48"/>
      <c r="S403" s="48"/>
      <c r="T403" s="53"/>
      <c r="V403" s="53"/>
      <c r="W403" s="53"/>
      <c r="X403" s="53"/>
      <c r="Y403" s="53"/>
    </row>
    <row r="404" spans="1:25" ht="12.75">
      <c r="A404" s="16"/>
      <c r="C404" s="56"/>
      <c r="D404" s="57"/>
      <c r="E404" s="57"/>
      <c r="F404" s="57"/>
      <c r="G404" s="48"/>
      <c r="H404" s="48"/>
      <c r="I404" s="48"/>
      <c r="J404" s="48"/>
      <c r="K404" s="48"/>
      <c r="L404" s="48"/>
      <c r="M404" s="48"/>
      <c r="N404" s="48"/>
      <c r="O404" s="48"/>
      <c r="P404" s="48"/>
      <c r="Q404" s="48"/>
      <c r="R404" s="48"/>
      <c r="S404" s="48"/>
      <c r="T404" s="53"/>
      <c r="V404" s="53"/>
      <c r="W404" s="53"/>
      <c r="X404" s="53"/>
      <c r="Y404" s="53"/>
    </row>
    <row r="405" spans="1:25" ht="12.75">
      <c r="A405" s="16"/>
      <c r="C405" s="56"/>
      <c r="D405" s="57"/>
      <c r="E405" s="57"/>
      <c r="F405" s="57"/>
      <c r="G405" s="48"/>
      <c r="H405" s="48"/>
      <c r="I405" s="48"/>
      <c r="J405" s="48"/>
      <c r="K405" s="48"/>
      <c r="L405" s="48"/>
      <c r="M405" s="48"/>
      <c r="N405" s="48"/>
      <c r="O405" s="48"/>
      <c r="P405" s="48"/>
      <c r="Q405" s="48"/>
      <c r="R405" s="48"/>
      <c r="S405" s="48"/>
      <c r="T405" s="53"/>
      <c r="V405" s="53"/>
      <c r="W405" s="53"/>
      <c r="X405" s="53"/>
      <c r="Y405" s="53"/>
    </row>
    <row r="406" spans="1:25" ht="12.75">
      <c r="A406" s="16"/>
      <c r="C406" s="56"/>
      <c r="D406" s="57"/>
      <c r="E406" s="57"/>
      <c r="F406" s="57"/>
      <c r="G406" s="48"/>
      <c r="H406" s="48"/>
      <c r="I406" s="48"/>
      <c r="J406" s="48"/>
      <c r="K406" s="48"/>
      <c r="L406" s="48"/>
      <c r="M406" s="48"/>
      <c r="N406" s="48"/>
      <c r="O406" s="48"/>
      <c r="P406" s="48"/>
      <c r="Q406" s="48"/>
      <c r="R406" s="48"/>
      <c r="S406" s="48"/>
      <c r="T406" s="53"/>
      <c r="V406" s="53"/>
      <c r="W406" s="53"/>
      <c r="X406" s="53"/>
      <c r="Y406" s="53"/>
    </row>
    <row r="407" spans="1:25" ht="12.75">
      <c r="A407" s="16"/>
      <c r="C407" s="56"/>
      <c r="D407" s="57"/>
      <c r="E407" s="57"/>
      <c r="F407" s="57"/>
      <c r="G407" s="48"/>
      <c r="H407" s="48"/>
      <c r="I407" s="48"/>
      <c r="J407" s="48"/>
      <c r="K407" s="48"/>
      <c r="L407" s="48"/>
      <c r="M407" s="48"/>
      <c r="N407" s="48"/>
      <c r="O407" s="48"/>
      <c r="P407" s="48"/>
      <c r="Q407" s="48"/>
      <c r="R407" s="48"/>
      <c r="S407" s="48"/>
      <c r="T407" s="53"/>
      <c r="V407" s="53"/>
      <c r="W407" s="53"/>
      <c r="X407" s="53"/>
      <c r="Y407" s="53"/>
    </row>
    <row r="408" spans="1:25" ht="12.75">
      <c r="A408" s="16"/>
      <c r="C408" s="56"/>
      <c r="D408" s="57"/>
      <c r="E408" s="57"/>
      <c r="F408" s="57"/>
      <c r="G408" s="48"/>
      <c r="H408" s="48"/>
      <c r="I408" s="48"/>
      <c r="J408" s="48"/>
      <c r="K408" s="48"/>
      <c r="L408" s="48"/>
      <c r="M408" s="48"/>
      <c r="N408" s="48"/>
      <c r="O408" s="48"/>
      <c r="P408" s="48"/>
      <c r="Q408" s="48"/>
      <c r="R408" s="48"/>
      <c r="S408" s="48"/>
      <c r="T408" s="53"/>
      <c r="V408" s="53"/>
      <c r="W408" s="53"/>
      <c r="X408" s="53"/>
      <c r="Y408" s="53"/>
    </row>
    <row r="409" spans="1:25" ht="12.75">
      <c r="A409" s="16"/>
      <c r="C409" s="56"/>
      <c r="D409" s="57"/>
      <c r="E409" s="57"/>
      <c r="F409" s="57"/>
      <c r="G409" s="48"/>
      <c r="H409" s="48"/>
      <c r="I409" s="48"/>
      <c r="J409" s="48"/>
      <c r="K409" s="48"/>
      <c r="L409" s="48"/>
      <c r="M409" s="48"/>
      <c r="N409" s="48"/>
      <c r="O409" s="48"/>
      <c r="P409" s="48"/>
      <c r="Q409" s="48"/>
      <c r="R409" s="48"/>
      <c r="S409" s="48"/>
      <c r="T409" s="53"/>
      <c r="V409" s="53"/>
      <c r="W409" s="53"/>
      <c r="X409" s="53"/>
      <c r="Y409" s="53"/>
    </row>
    <row r="410" spans="1:25" ht="12.75">
      <c r="A410" s="16"/>
      <c r="C410" s="56"/>
      <c r="D410" s="57"/>
      <c r="E410" s="57"/>
      <c r="F410" s="57"/>
      <c r="G410" s="48"/>
      <c r="H410" s="48"/>
      <c r="I410" s="48"/>
      <c r="J410" s="48"/>
      <c r="K410" s="48"/>
      <c r="L410" s="48"/>
      <c r="M410" s="48"/>
      <c r="N410" s="48"/>
      <c r="O410" s="48"/>
      <c r="P410" s="48"/>
      <c r="Q410" s="48"/>
      <c r="R410" s="48"/>
      <c r="S410" s="48"/>
      <c r="T410" s="53"/>
      <c r="V410" s="53"/>
      <c r="W410" s="53"/>
      <c r="X410" s="53"/>
      <c r="Y410" s="53"/>
    </row>
    <row r="411" spans="1:25" ht="12.75">
      <c r="A411" s="16"/>
      <c r="C411" s="56"/>
      <c r="D411" s="57"/>
      <c r="E411" s="57"/>
      <c r="F411" s="57"/>
      <c r="G411" s="48"/>
      <c r="H411" s="48"/>
      <c r="I411" s="48"/>
      <c r="J411" s="48"/>
      <c r="K411" s="48"/>
      <c r="L411" s="48"/>
      <c r="M411" s="48"/>
      <c r="N411" s="48"/>
      <c r="O411" s="48"/>
      <c r="P411" s="48"/>
      <c r="Q411" s="48"/>
      <c r="R411" s="48"/>
      <c r="S411" s="48"/>
      <c r="T411" s="53"/>
      <c r="V411" s="53"/>
      <c r="W411" s="53"/>
      <c r="X411" s="53"/>
      <c r="Y411" s="53"/>
    </row>
    <row r="412" spans="1:25" ht="12.75">
      <c r="A412" s="16"/>
      <c r="C412" s="56"/>
      <c r="D412" s="57"/>
      <c r="E412" s="57"/>
      <c r="F412" s="57"/>
      <c r="G412" s="48"/>
      <c r="H412" s="48"/>
      <c r="I412" s="48"/>
      <c r="J412" s="48"/>
      <c r="K412" s="48"/>
      <c r="L412" s="48"/>
      <c r="M412" s="48"/>
      <c r="N412" s="48"/>
      <c r="O412" s="48"/>
      <c r="P412" s="48"/>
      <c r="Q412" s="48"/>
      <c r="R412" s="48"/>
      <c r="S412" s="48"/>
      <c r="T412" s="53"/>
      <c r="V412" s="53"/>
      <c r="W412" s="53"/>
      <c r="X412" s="53"/>
      <c r="Y412" s="53"/>
    </row>
    <row r="413" spans="1:25" ht="12.75">
      <c r="A413" s="16"/>
      <c r="C413" s="56"/>
      <c r="D413" s="57"/>
      <c r="E413" s="57"/>
      <c r="F413" s="57"/>
      <c r="G413" s="48"/>
      <c r="H413" s="48"/>
      <c r="I413" s="48"/>
      <c r="J413" s="48"/>
      <c r="K413" s="48"/>
      <c r="L413" s="48"/>
      <c r="M413" s="48"/>
      <c r="N413" s="48"/>
      <c r="O413" s="48"/>
      <c r="P413" s="48"/>
      <c r="Q413" s="48"/>
      <c r="R413" s="48"/>
      <c r="S413" s="48"/>
      <c r="T413" s="53"/>
      <c r="V413" s="53"/>
      <c r="W413" s="53"/>
      <c r="X413" s="53"/>
      <c r="Y413" s="53"/>
    </row>
    <row r="414" spans="1:25" ht="12.75">
      <c r="A414" s="16"/>
      <c r="C414" s="56"/>
      <c r="D414" s="57"/>
      <c r="E414" s="57"/>
      <c r="F414" s="57"/>
      <c r="G414" s="48"/>
      <c r="H414" s="48"/>
      <c r="I414" s="48"/>
      <c r="J414" s="48"/>
      <c r="K414" s="48"/>
      <c r="L414" s="48"/>
      <c r="M414" s="48"/>
      <c r="N414" s="48"/>
      <c r="O414" s="48"/>
      <c r="P414" s="48"/>
      <c r="Q414" s="48"/>
      <c r="R414" s="48"/>
      <c r="S414" s="48"/>
      <c r="T414" s="53"/>
      <c r="V414" s="53"/>
      <c r="W414" s="53"/>
      <c r="X414" s="53"/>
      <c r="Y414" s="53"/>
    </row>
    <row r="415" spans="1:25" ht="12.75">
      <c r="A415" s="16"/>
      <c r="C415" s="56"/>
      <c r="D415" s="57"/>
      <c r="E415" s="57"/>
      <c r="F415" s="57"/>
      <c r="G415" s="48"/>
      <c r="H415" s="48"/>
      <c r="I415" s="48"/>
      <c r="J415" s="48"/>
      <c r="K415" s="48"/>
      <c r="L415" s="48"/>
      <c r="M415" s="48"/>
      <c r="N415" s="48"/>
      <c r="O415" s="48"/>
      <c r="P415" s="48"/>
      <c r="Q415" s="48"/>
      <c r="R415" s="48"/>
      <c r="S415" s="48"/>
      <c r="T415" s="53"/>
      <c r="V415" s="53"/>
      <c r="W415" s="53"/>
      <c r="X415" s="53"/>
      <c r="Y415" s="53"/>
    </row>
    <row r="416" spans="1:25" ht="12.75">
      <c r="A416" s="16"/>
      <c r="C416" s="56"/>
      <c r="D416" s="57"/>
      <c r="E416" s="57"/>
      <c r="F416" s="57"/>
      <c r="G416" s="48"/>
      <c r="H416" s="48"/>
      <c r="I416" s="48"/>
      <c r="J416" s="48"/>
      <c r="K416" s="48"/>
      <c r="L416" s="48"/>
      <c r="M416" s="48"/>
      <c r="N416" s="48"/>
      <c r="O416" s="48"/>
      <c r="P416" s="48"/>
      <c r="Q416" s="48"/>
      <c r="R416" s="48"/>
      <c r="S416" s="48"/>
      <c r="T416" s="53"/>
      <c r="V416" s="53"/>
      <c r="W416" s="53"/>
      <c r="X416" s="53"/>
      <c r="Y416" s="53"/>
    </row>
    <row r="417" spans="1:25" ht="12.75">
      <c r="A417" s="16"/>
      <c r="C417" s="56"/>
      <c r="D417" s="57"/>
      <c r="E417" s="57"/>
      <c r="F417" s="57"/>
      <c r="G417" s="48"/>
      <c r="H417" s="48"/>
      <c r="I417" s="48"/>
      <c r="J417" s="48"/>
      <c r="K417" s="48"/>
      <c r="L417" s="48"/>
      <c r="M417" s="48"/>
      <c r="N417" s="48"/>
      <c r="O417" s="48"/>
      <c r="P417" s="48"/>
      <c r="Q417" s="48"/>
      <c r="R417" s="48"/>
      <c r="S417" s="48"/>
      <c r="T417" s="53"/>
      <c r="V417" s="53"/>
      <c r="W417" s="53"/>
      <c r="X417" s="53"/>
      <c r="Y417" s="53"/>
    </row>
    <row r="418" spans="1:25" ht="12.75">
      <c r="A418" s="16"/>
      <c r="C418" s="56"/>
      <c r="D418" s="57"/>
      <c r="E418" s="57"/>
      <c r="F418" s="57"/>
      <c r="G418" s="48"/>
      <c r="H418" s="48"/>
      <c r="I418" s="48"/>
      <c r="J418" s="48"/>
      <c r="K418" s="48"/>
      <c r="L418" s="48"/>
      <c r="M418" s="48"/>
      <c r="N418" s="48"/>
      <c r="O418" s="48"/>
      <c r="P418" s="48"/>
      <c r="Q418" s="48"/>
      <c r="R418" s="48"/>
      <c r="S418" s="48"/>
      <c r="T418" s="53"/>
      <c r="V418" s="53"/>
      <c r="W418" s="53"/>
      <c r="X418" s="53"/>
      <c r="Y418" s="53"/>
    </row>
    <row r="419" spans="1:25" ht="12.75">
      <c r="A419" s="16"/>
      <c r="C419" s="56"/>
      <c r="D419" s="57"/>
      <c r="E419" s="57"/>
      <c r="F419" s="57"/>
      <c r="G419" s="48"/>
      <c r="H419" s="48"/>
      <c r="I419" s="48"/>
      <c r="J419" s="48"/>
      <c r="K419" s="48"/>
      <c r="L419" s="48"/>
      <c r="M419" s="48"/>
      <c r="N419" s="48"/>
      <c r="O419" s="48"/>
      <c r="P419" s="48"/>
      <c r="Q419" s="48"/>
      <c r="R419" s="48"/>
      <c r="S419" s="48"/>
      <c r="T419" s="53"/>
      <c r="V419" s="53"/>
      <c r="W419" s="53"/>
      <c r="X419" s="53"/>
      <c r="Y419" s="53"/>
    </row>
    <row r="420" spans="1:25" ht="12.75">
      <c r="A420" s="16"/>
      <c r="C420" s="56"/>
      <c r="D420" s="57"/>
      <c r="E420" s="57"/>
      <c r="F420" s="57"/>
      <c r="G420" s="48"/>
      <c r="H420" s="48"/>
      <c r="I420" s="48"/>
      <c r="J420" s="48"/>
      <c r="K420" s="48"/>
      <c r="L420" s="48"/>
      <c r="M420" s="48"/>
      <c r="N420" s="48"/>
      <c r="O420" s="48"/>
      <c r="P420" s="48"/>
      <c r="Q420" s="48"/>
      <c r="R420" s="48"/>
      <c r="S420" s="48"/>
      <c r="T420" s="53"/>
      <c r="V420" s="53"/>
      <c r="W420" s="53"/>
      <c r="X420" s="53"/>
      <c r="Y420" s="53"/>
    </row>
    <row r="421" spans="1:25" ht="12.75">
      <c r="A421" s="16"/>
      <c r="C421" s="56"/>
      <c r="D421" s="57"/>
      <c r="E421" s="57"/>
      <c r="F421" s="57"/>
      <c r="G421" s="48"/>
      <c r="H421" s="48"/>
      <c r="I421" s="48"/>
      <c r="J421" s="48"/>
      <c r="K421" s="48"/>
      <c r="L421" s="48"/>
      <c r="M421" s="48"/>
      <c r="N421" s="48"/>
      <c r="O421" s="48"/>
      <c r="P421" s="48"/>
      <c r="Q421" s="48"/>
      <c r="R421" s="48"/>
      <c r="S421" s="48"/>
      <c r="T421" s="53"/>
      <c r="V421" s="53"/>
      <c r="W421" s="53"/>
      <c r="X421" s="53"/>
      <c r="Y421" s="53"/>
    </row>
    <row r="422" spans="1:25" ht="12.75">
      <c r="A422" s="16"/>
      <c r="C422" s="56"/>
      <c r="D422" s="57"/>
      <c r="E422" s="57"/>
      <c r="F422" s="57"/>
      <c r="G422" s="48"/>
      <c r="H422" s="48"/>
      <c r="I422" s="48"/>
      <c r="J422" s="48"/>
      <c r="K422" s="48"/>
      <c r="L422" s="48"/>
      <c r="M422" s="48"/>
      <c r="N422" s="48"/>
      <c r="O422" s="48"/>
      <c r="P422" s="48"/>
      <c r="Q422" s="48"/>
      <c r="R422" s="48"/>
      <c r="S422" s="48"/>
      <c r="T422" s="53"/>
      <c r="V422" s="53"/>
      <c r="W422" s="53"/>
      <c r="X422" s="53"/>
      <c r="Y422" s="53"/>
    </row>
    <row r="423" spans="1:25" ht="12.75">
      <c r="A423" s="16"/>
      <c r="C423" s="56"/>
      <c r="D423" s="57"/>
      <c r="E423" s="57"/>
      <c r="F423" s="57"/>
      <c r="G423" s="48"/>
      <c r="H423" s="48"/>
      <c r="I423" s="48"/>
      <c r="J423" s="48"/>
      <c r="K423" s="48"/>
      <c r="L423" s="48"/>
      <c r="M423" s="48"/>
      <c r="N423" s="48"/>
      <c r="O423" s="48"/>
      <c r="P423" s="48"/>
      <c r="Q423" s="48"/>
      <c r="R423" s="48"/>
      <c r="S423" s="48"/>
      <c r="T423" s="53"/>
      <c r="V423" s="53"/>
      <c r="W423" s="53"/>
      <c r="X423" s="53"/>
      <c r="Y423" s="53"/>
    </row>
    <row r="424" spans="1:25" ht="12.75">
      <c r="A424" s="16"/>
      <c r="C424" s="56"/>
      <c r="D424" s="57"/>
      <c r="E424" s="57"/>
      <c r="F424" s="57"/>
      <c r="G424" s="48"/>
      <c r="H424" s="48"/>
      <c r="I424" s="48"/>
      <c r="J424" s="48"/>
      <c r="K424" s="48"/>
      <c r="L424" s="48"/>
      <c r="M424" s="48"/>
      <c r="N424" s="48"/>
      <c r="O424" s="48"/>
      <c r="P424" s="48"/>
      <c r="Q424" s="48"/>
      <c r="R424" s="48"/>
      <c r="S424" s="48"/>
      <c r="T424" s="53"/>
      <c r="V424" s="53"/>
      <c r="W424" s="53"/>
      <c r="X424" s="53"/>
      <c r="Y424" s="53"/>
    </row>
    <row r="425" spans="1:25" ht="12.75">
      <c r="A425" s="16"/>
      <c r="C425" s="56"/>
      <c r="D425" s="57"/>
      <c r="E425" s="57"/>
      <c r="F425" s="57"/>
      <c r="G425" s="48"/>
      <c r="H425" s="48"/>
      <c r="I425" s="48"/>
      <c r="J425" s="48"/>
      <c r="K425" s="48"/>
      <c r="L425" s="48"/>
      <c r="M425" s="48"/>
      <c r="N425" s="48"/>
      <c r="O425" s="48"/>
      <c r="P425" s="48"/>
      <c r="Q425" s="48"/>
      <c r="R425" s="48"/>
      <c r="S425" s="48"/>
      <c r="T425" s="53"/>
      <c r="V425" s="53"/>
      <c r="W425" s="53"/>
      <c r="X425" s="53"/>
      <c r="Y425" s="53"/>
    </row>
    <row r="426" spans="1:25" ht="12.75">
      <c r="A426" s="16"/>
      <c r="C426" s="56"/>
      <c r="D426" s="57"/>
      <c r="E426" s="57"/>
      <c r="F426" s="57"/>
      <c r="G426" s="48"/>
      <c r="H426" s="48"/>
      <c r="I426" s="48"/>
      <c r="J426" s="48"/>
      <c r="K426" s="48"/>
      <c r="L426" s="48"/>
      <c r="M426" s="48"/>
      <c r="N426" s="48"/>
      <c r="O426" s="48"/>
      <c r="P426" s="48"/>
      <c r="Q426" s="48"/>
      <c r="R426" s="48"/>
      <c r="S426" s="48"/>
      <c r="T426" s="53"/>
      <c r="V426" s="53"/>
      <c r="W426" s="53"/>
      <c r="X426" s="53"/>
      <c r="Y426" s="53"/>
    </row>
    <row r="427" spans="1:25" ht="12.75">
      <c r="A427" s="16"/>
      <c r="C427" s="56"/>
      <c r="D427" s="57"/>
      <c r="E427" s="57"/>
      <c r="F427" s="57"/>
      <c r="G427" s="48"/>
      <c r="H427" s="48"/>
      <c r="I427" s="48"/>
      <c r="J427" s="48"/>
      <c r="K427" s="48"/>
      <c r="L427" s="48"/>
      <c r="M427" s="48"/>
      <c r="N427" s="48"/>
      <c r="O427" s="48"/>
      <c r="P427" s="48"/>
      <c r="Q427" s="48"/>
      <c r="R427" s="48"/>
      <c r="S427" s="48"/>
      <c r="T427" s="53"/>
      <c r="V427" s="53"/>
      <c r="W427" s="53"/>
      <c r="X427" s="53"/>
      <c r="Y427" s="53"/>
    </row>
    <row r="428" spans="1:25" ht="12.75">
      <c r="A428" s="16"/>
      <c r="C428" s="56"/>
      <c r="D428" s="57"/>
      <c r="E428" s="57"/>
      <c r="F428" s="57"/>
      <c r="G428" s="48"/>
      <c r="H428" s="48"/>
      <c r="I428" s="48"/>
      <c r="J428" s="48"/>
      <c r="K428" s="48"/>
      <c r="L428" s="48"/>
      <c r="M428" s="48"/>
      <c r="N428" s="48"/>
      <c r="O428" s="48"/>
      <c r="P428" s="48"/>
      <c r="Q428" s="48"/>
      <c r="R428" s="48"/>
      <c r="S428" s="48"/>
      <c r="T428" s="53"/>
      <c r="V428" s="53"/>
      <c r="W428" s="53"/>
      <c r="X428" s="53"/>
      <c r="Y428" s="53"/>
    </row>
    <row r="429" spans="1:25" ht="12.75">
      <c r="A429" s="16"/>
      <c r="C429" s="56"/>
      <c r="D429" s="57"/>
      <c r="E429" s="57"/>
      <c r="F429" s="57"/>
      <c r="G429" s="48"/>
      <c r="H429" s="48"/>
      <c r="I429" s="48"/>
      <c r="J429" s="48"/>
      <c r="K429" s="48"/>
      <c r="L429" s="48"/>
      <c r="M429" s="48"/>
      <c r="N429" s="48"/>
      <c r="O429" s="48"/>
      <c r="P429" s="48"/>
      <c r="Q429" s="48"/>
      <c r="R429" s="48"/>
      <c r="S429" s="48"/>
      <c r="T429" s="53"/>
      <c r="V429" s="53"/>
      <c r="W429" s="53"/>
      <c r="X429" s="53"/>
      <c r="Y429" s="53"/>
    </row>
  </sheetData>
  <sheetProtection/>
  <mergeCells count="51">
    <mergeCell ref="AA68:AC68"/>
    <mergeCell ref="AA74:AC74"/>
    <mergeCell ref="AC5:AC9"/>
    <mergeCell ref="X17:Z17"/>
    <mergeCell ref="W7:W9"/>
    <mergeCell ref="X7:X9"/>
    <mergeCell ref="AA5:AA11"/>
    <mergeCell ref="C5:C11"/>
    <mergeCell ref="L8:L11"/>
    <mergeCell ref="M8:M11"/>
    <mergeCell ref="O8:O11"/>
    <mergeCell ref="F5:H6"/>
    <mergeCell ref="I5:K6"/>
    <mergeCell ref="A1:Z1"/>
    <mergeCell ref="A2:Z2"/>
    <mergeCell ref="A3:Z3"/>
    <mergeCell ref="A4:Z4"/>
    <mergeCell ref="A5:A11"/>
    <mergeCell ref="T7:T11"/>
    <mergeCell ref="U7:V7"/>
    <mergeCell ref="L7:M7"/>
    <mergeCell ref="N7:O7"/>
    <mergeCell ref="B5:B11"/>
    <mergeCell ref="AD5:AD9"/>
    <mergeCell ref="F7:F11"/>
    <mergeCell ref="G7:H7"/>
    <mergeCell ref="I7:I11"/>
    <mergeCell ref="J7:K7"/>
    <mergeCell ref="N8:N11"/>
    <mergeCell ref="N5:P5"/>
    <mergeCell ref="T5:X5"/>
    <mergeCell ref="B109:Z109"/>
    <mergeCell ref="U8:U11"/>
    <mergeCell ref="V8:V9"/>
    <mergeCell ref="Z5:Z11"/>
    <mergeCell ref="W6:X6"/>
    <mergeCell ref="D5:D11"/>
    <mergeCell ref="E5:E11"/>
    <mergeCell ref="L6:M6"/>
    <mergeCell ref="N6:O6"/>
    <mergeCell ref="P6:P9"/>
    <mergeCell ref="AH7:AI7"/>
    <mergeCell ref="AJ7:AK7"/>
    <mergeCell ref="G8:G11"/>
    <mergeCell ref="H8:H11"/>
    <mergeCell ref="J8:J11"/>
    <mergeCell ref="K8:K11"/>
    <mergeCell ref="AE5:AE9"/>
    <mergeCell ref="AF5:AF9"/>
    <mergeCell ref="AG5:AG9"/>
    <mergeCell ref="T6:V6"/>
  </mergeCells>
  <printOptions/>
  <pageMargins left="0.63" right="0.44" top="0.58" bottom="0.56" header="0.28" footer="0.22"/>
  <pageSetup horizontalDpi="600" verticalDpi="600" orientation="landscape" paperSize="9" scale="88"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VinhThinhCQ42</dc:creator>
  <cp:keywords/>
  <dc:description/>
  <cp:lastModifiedBy>Lap-VPUBDB</cp:lastModifiedBy>
  <cp:lastPrinted>2015-12-02T08:26:45Z</cp:lastPrinted>
  <dcterms:created xsi:type="dcterms:W3CDTF">2014-12-01T07:22:42Z</dcterms:created>
  <dcterms:modified xsi:type="dcterms:W3CDTF">2015-12-05T08:22:32Z</dcterms:modified>
  <cp:category/>
  <cp:version/>
  <cp:contentType/>
  <cp:contentStatus/>
</cp:coreProperties>
</file>